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516"/>
  <workbookPr codeName="ThisWorkbook" autoCompressPictures="0"/>
  <bookViews>
    <workbookView xWindow="720" yWindow="40" windowWidth="8000" windowHeight="7160" tabRatio="784" firstSheet="3" activeTab="3"/>
  </bookViews>
  <sheets>
    <sheet name="BDOheader" sheetId="13" state="hidden" r:id="rId1"/>
    <sheet name="Resultat" sheetId="1" state="hidden" r:id="rId2"/>
    <sheet name="Balance" sheetId="2" state="hidden" r:id="rId3"/>
    <sheet name="Budget" sheetId="4" r:id="rId4"/>
    <sheet name="Beholdningsforskydn." sheetId="8" state="hidden" r:id="rId5"/>
    <sheet name="Forudsætn." sheetId="5" state="hidden" r:id="rId6"/>
    <sheet name="Momsspec." sheetId="6" state="hidden" r:id="rId7"/>
    <sheet name="Ind- og udbet." sheetId="3" state="hidden" r:id="rId8"/>
    <sheet name="Ark1" sheetId="14" state="hidden" r:id="rId9"/>
    <sheet name="Ark2" sheetId="15" state="hidden" r:id="rId10"/>
  </sheets>
  <definedNames>
    <definedName name="_xlnm._FilterDatabase" localSheetId="5" hidden="1">Momsspec.!$O$7:$O$7</definedName>
    <definedName name="_xlnm._FilterDatabase" localSheetId="6" hidden="1">Momsspec.!$O$7:$O$18</definedName>
    <definedName name="Approve1By" localSheetId="0">BDOheader!$D$5</definedName>
    <definedName name="Approve1On" localSheetId="0">BDOheader!$D$6</definedName>
    <definedName name="Approve2By" localSheetId="0">BDOheader!$D$7</definedName>
    <definedName name="Approve2On" localSheetId="0">BDOheader!$D$8</definedName>
    <definedName name="ApproveBy" localSheetId="0">BDOheader!$D$3</definedName>
    <definedName name="ApproveOn" localSheetId="0">BDOheader!$D$4</definedName>
    <definedName name="Category">BDOheader!$H$5</definedName>
    <definedName name="CreatedBy" localSheetId="0">BDOheader!$D$1</definedName>
    <definedName name="CreatedOn" localSheetId="0">BDOheader!$D$2</definedName>
    <definedName name="CustomerID" localSheetId="0">BDOheader!$A$2</definedName>
    <definedName name="CustomerName" localSheetId="0">BDOheader!$B$2</definedName>
    <definedName name="Indeks">BDOheader!$E$2</definedName>
    <definedName name="Task" localSheetId="0">BDOheader!$A$6</definedName>
    <definedName name="_xlnm.Print_Area" localSheetId="2">Balance!$A$1:$F$71</definedName>
    <definedName name="_xlnm.Print_Area" localSheetId="4">Beholdningsforskydn.!$A$1:$E$32</definedName>
    <definedName name="_xlnm.Print_Area" localSheetId="3">Budget!$A$2:$M$119</definedName>
    <definedName name="_xlnm.Print_Area" localSheetId="5">Forudsætn.!$A$1:$N$312</definedName>
    <definedName name="_xlnm.Print_Area" localSheetId="7">'Ind- og udbet.'!$A$1:$N$38</definedName>
    <definedName name="_xlnm.Print_Area" localSheetId="6">Momsspec.!$A$1:$N$43</definedName>
    <definedName name="_xlnm.Print_Titles" localSheetId="3">Budget!$2:$4</definedName>
    <definedName name="_xlnm.Print_Titles" localSheetId="5">Forudsætn.!$1:$3</definedName>
    <definedName name="Year" localSheetId="0">BDOheader!$E$6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5" i="4" l="1"/>
  <c r="L14" i="4"/>
  <c r="L13" i="4"/>
  <c r="L12" i="4"/>
  <c r="L11" i="4"/>
  <c r="L10" i="4"/>
  <c r="L9" i="4"/>
  <c r="L8" i="4"/>
  <c r="L7" i="4"/>
  <c r="L84" i="4"/>
  <c r="L62" i="4"/>
  <c r="L52" i="4"/>
  <c r="K16" i="4"/>
  <c r="L17" i="4"/>
  <c r="L16" i="4"/>
  <c r="L18" i="4"/>
  <c r="L115" i="4"/>
  <c r="L86" i="4"/>
  <c r="C7" i="4"/>
  <c r="C8" i="4"/>
  <c r="C9" i="4"/>
  <c r="C10" i="4"/>
  <c r="C11" i="4"/>
  <c r="C12" i="4"/>
  <c r="C13" i="4"/>
  <c r="C14" i="4"/>
  <c r="C15" i="4"/>
  <c r="C48" i="4"/>
  <c r="B16" i="4"/>
  <c r="C17" i="4"/>
  <c r="C27" i="4"/>
  <c r="C39" i="4"/>
  <c r="C52" i="4"/>
  <c r="C62" i="4"/>
  <c r="C71" i="4"/>
  <c r="C84" i="4"/>
  <c r="C102" i="4"/>
  <c r="C106" i="4"/>
  <c r="C107" i="4"/>
  <c r="C108" i="4"/>
  <c r="C109" i="4"/>
  <c r="C110" i="4"/>
  <c r="E15" i="4"/>
  <c r="G14" i="4"/>
  <c r="E14" i="4"/>
  <c r="E11" i="4"/>
  <c r="I16" i="4"/>
  <c r="J17" i="4"/>
  <c r="F16" i="4"/>
  <c r="G17" i="4"/>
  <c r="D16" i="4"/>
  <c r="E17" i="4"/>
  <c r="G10" i="4"/>
  <c r="E10" i="4"/>
  <c r="J84" i="4"/>
  <c r="J62" i="4"/>
  <c r="J52" i="4"/>
  <c r="G11" i="4"/>
  <c r="G12" i="4"/>
  <c r="G15" i="4"/>
  <c r="J15" i="4"/>
  <c r="J14" i="4"/>
  <c r="J13" i="4"/>
  <c r="J12" i="4"/>
  <c r="J11" i="4"/>
  <c r="J10" i="4"/>
  <c r="J9" i="4"/>
  <c r="J8" i="4"/>
  <c r="J7" i="4"/>
  <c r="G13" i="4"/>
  <c r="G9" i="4"/>
  <c r="G8" i="4"/>
  <c r="E13" i="4"/>
  <c r="E12" i="4"/>
  <c r="E9" i="4"/>
  <c r="E8" i="4"/>
  <c r="G7" i="4"/>
  <c r="E7" i="4"/>
  <c r="H15" i="4"/>
  <c r="C16" i="4"/>
  <c r="C18" i="4"/>
  <c r="C115" i="4"/>
  <c r="C111" i="4"/>
  <c r="C86" i="4"/>
  <c r="J86" i="4"/>
  <c r="J16" i="4"/>
  <c r="J18" i="4"/>
  <c r="J115" i="4"/>
  <c r="D47" i="2"/>
  <c r="E47" i="2"/>
  <c r="F47" i="2"/>
  <c r="G48" i="4"/>
  <c r="C24" i="2"/>
  <c r="G16" i="4"/>
  <c r="G18" i="4"/>
  <c r="E16" i="4"/>
  <c r="E18" i="4"/>
  <c r="C225" i="5"/>
  <c r="C229" i="5"/>
  <c r="H10" i="4"/>
  <c r="H13" i="4"/>
  <c r="B231" i="5"/>
  <c r="D231" i="5"/>
  <c r="D227" i="5"/>
  <c r="B227" i="5"/>
  <c r="D225" i="5"/>
  <c r="H7" i="4"/>
  <c r="H77" i="4"/>
  <c r="H76" i="4"/>
  <c r="H74" i="4"/>
  <c r="A6" i="1"/>
  <c r="C8" i="1"/>
  <c r="C11" i="1"/>
  <c r="C14" i="1"/>
  <c r="C15" i="1"/>
  <c r="C16" i="1"/>
  <c r="B27" i="5"/>
  <c r="B31" i="5"/>
  <c r="B47" i="5"/>
  <c r="B51" i="5"/>
  <c r="B65" i="5"/>
  <c r="B69" i="5"/>
  <c r="C91" i="4"/>
  <c r="B85" i="5"/>
  <c r="B89" i="5"/>
  <c r="C92" i="4"/>
  <c r="B103" i="5"/>
  <c r="B107" i="5"/>
  <c r="C93" i="4"/>
  <c r="B37" i="5"/>
  <c r="B57" i="5"/>
  <c r="B75" i="5"/>
  <c r="B95" i="5"/>
  <c r="B113" i="5"/>
  <c r="C23" i="1"/>
  <c r="D50" i="2"/>
  <c r="D51" i="2"/>
  <c r="E107" i="4"/>
  <c r="D52" i="2"/>
  <c r="D53" i="2"/>
  <c r="E109" i="4"/>
  <c r="B34" i="3"/>
  <c r="B223" i="5"/>
  <c r="B224" i="5"/>
  <c r="B226" i="5"/>
  <c r="B228" i="5"/>
  <c r="B229" i="5"/>
  <c r="B230" i="5"/>
  <c r="B232" i="5"/>
  <c r="B234" i="5"/>
  <c r="B10" i="3"/>
  <c r="B258" i="5"/>
  <c r="B259" i="5"/>
  <c r="B260" i="5"/>
  <c r="B261" i="5"/>
  <c r="B262" i="5"/>
  <c r="B263" i="5"/>
  <c r="B264" i="5"/>
  <c r="B265" i="5"/>
  <c r="B266" i="5"/>
  <c r="B267" i="5"/>
  <c r="B268" i="5"/>
  <c r="B269" i="5"/>
  <c r="B287" i="5"/>
  <c r="B288" i="5"/>
  <c r="B294" i="5"/>
  <c r="B297" i="5"/>
  <c r="B304" i="5"/>
  <c r="B307" i="5"/>
  <c r="B19" i="3"/>
  <c r="B200" i="5"/>
  <c r="B204" i="5"/>
  <c r="B205" i="5"/>
  <c r="B23" i="3"/>
  <c r="B24" i="3"/>
  <c r="B25" i="3"/>
  <c r="D16" i="2"/>
  <c r="B26" i="3"/>
  <c r="D44" i="2"/>
  <c r="E44" i="2"/>
  <c r="F44" i="2"/>
  <c r="D66" i="2"/>
  <c r="E66" i="2"/>
  <c r="E65" i="2"/>
  <c r="F65" i="2"/>
  <c r="D63" i="2"/>
  <c r="E63" i="2"/>
  <c r="D27" i="2"/>
  <c r="B35" i="3"/>
  <c r="E27" i="4"/>
  <c r="D8" i="1"/>
  <c r="E39" i="4"/>
  <c r="D11" i="1"/>
  <c r="E52" i="4"/>
  <c r="D14" i="1"/>
  <c r="E62" i="4"/>
  <c r="D15" i="1"/>
  <c r="E71" i="4"/>
  <c r="D16" i="1"/>
  <c r="C44" i="5"/>
  <c r="C47" i="5"/>
  <c r="C37" i="5"/>
  <c r="C57" i="5"/>
  <c r="C75" i="5"/>
  <c r="C95" i="5"/>
  <c r="C113" i="5"/>
  <c r="E102" i="4"/>
  <c r="D23" i="1"/>
  <c r="C129" i="5"/>
  <c r="D129" i="5"/>
  <c r="E129" i="5"/>
  <c r="F129" i="5"/>
  <c r="G129" i="5"/>
  <c r="H129" i="5"/>
  <c r="I129" i="5"/>
  <c r="J129" i="5"/>
  <c r="K129" i="5"/>
  <c r="L129" i="5"/>
  <c r="M129" i="5"/>
  <c r="C178" i="5"/>
  <c r="D178" i="5"/>
  <c r="E178" i="5"/>
  <c r="F178" i="5"/>
  <c r="G178" i="5"/>
  <c r="H178" i="5"/>
  <c r="I178" i="5"/>
  <c r="J178" i="5"/>
  <c r="K178" i="5"/>
  <c r="L178" i="5"/>
  <c r="M178" i="5"/>
  <c r="C224" i="5"/>
  <c r="C226" i="5"/>
  <c r="C227" i="5"/>
  <c r="C228" i="5"/>
  <c r="C230" i="5"/>
  <c r="C231" i="5"/>
  <c r="C232" i="5"/>
  <c r="C233" i="5"/>
  <c r="C234" i="5"/>
  <c r="C192" i="5"/>
  <c r="C10" i="3"/>
  <c r="C258" i="5"/>
  <c r="C259" i="5"/>
  <c r="C260" i="5"/>
  <c r="C261" i="5"/>
  <c r="C262" i="5"/>
  <c r="C263" i="5"/>
  <c r="C264" i="5"/>
  <c r="C265" i="5"/>
  <c r="C266" i="5"/>
  <c r="C267" i="5"/>
  <c r="C268" i="5"/>
  <c r="C269" i="5"/>
  <c r="C287" i="5"/>
  <c r="C288" i="5"/>
  <c r="B289" i="5"/>
  <c r="B290" i="5"/>
  <c r="C204" i="5"/>
  <c r="B8" i="6"/>
  <c r="B9" i="6"/>
  <c r="B10" i="6"/>
  <c r="B11" i="6"/>
  <c r="B12" i="6"/>
  <c r="B13" i="6"/>
  <c r="B14" i="6"/>
  <c r="B15" i="6"/>
  <c r="B16" i="6"/>
  <c r="B17" i="6"/>
  <c r="B18" i="6"/>
  <c r="B26" i="6"/>
  <c r="B27" i="6"/>
  <c r="B28" i="6"/>
  <c r="B29" i="6"/>
  <c r="B30" i="6"/>
  <c r="B31" i="6"/>
  <c r="B32" i="6"/>
  <c r="B33" i="6"/>
  <c r="B34" i="6"/>
  <c r="B35" i="6"/>
  <c r="B36" i="6"/>
  <c r="C23" i="3"/>
  <c r="C130" i="5"/>
  <c r="C142" i="5"/>
  <c r="C155" i="5"/>
  <c r="C167" i="5"/>
  <c r="D167" i="5"/>
  <c r="E167" i="5"/>
  <c r="F167" i="5"/>
  <c r="G167" i="5"/>
  <c r="H167" i="5"/>
  <c r="I167" i="5"/>
  <c r="J167" i="5"/>
  <c r="K167" i="5"/>
  <c r="L167" i="5"/>
  <c r="M167" i="5"/>
  <c r="C179" i="5"/>
  <c r="D179" i="5"/>
  <c r="E179" i="5"/>
  <c r="F179" i="5"/>
  <c r="G179" i="5"/>
  <c r="H179" i="5"/>
  <c r="I179" i="5"/>
  <c r="J179" i="5"/>
  <c r="K179" i="5"/>
  <c r="L179" i="5"/>
  <c r="M179" i="5"/>
  <c r="E23" i="2"/>
  <c r="F23" i="2"/>
  <c r="C189" i="5"/>
  <c r="D189" i="5"/>
  <c r="E189" i="5"/>
  <c r="F189" i="5"/>
  <c r="G189" i="5"/>
  <c r="H189" i="5"/>
  <c r="I189" i="5"/>
  <c r="J189" i="5"/>
  <c r="K189" i="5"/>
  <c r="L189" i="5"/>
  <c r="M189" i="5"/>
  <c r="C55" i="2"/>
  <c r="F4" i="2"/>
  <c r="F39" i="2"/>
  <c r="E4" i="2"/>
  <c r="E39" i="2"/>
  <c r="D4" i="2"/>
  <c r="D39" i="2"/>
  <c r="A37" i="2"/>
  <c r="D60" i="2"/>
  <c r="E60" i="2"/>
  <c r="F60" i="2"/>
  <c r="C45" i="2"/>
  <c r="C48" i="2"/>
  <c r="D21" i="2"/>
  <c r="E21" i="2"/>
  <c r="F21" i="2"/>
  <c r="C67" i="2"/>
  <c r="A13" i="2"/>
  <c r="C13" i="2"/>
  <c r="C12" i="2"/>
  <c r="A12" i="2"/>
  <c r="A11" i="2"/>
  <c r="C11" i="2"/>
  <c r="C7" i="2"/>
  <c r="A7" i="2"/>
  <c r="A6" i="2"/>
  <c r="C6" i="2"/>
  <c r="D8" i="2"/>
  <c r="E8" i="2"/>
  <c r="F8" i="2"/>
  <c r="C17" i="2"/>
  <c r="D42" i="2"/>
  <c r="E42" i="2"/>
  <c r="F42" i="2"/>
  <c r="D41" i="2"/>
  <c r="C39" i="2"/>
  <c r="C28" i="2"/>
  <c r="C289" i="5"/>
  <c r="C290" i="5"/>
  <c r="C295" i="5"/>
  <c r="C296" i="5"/>
  <c r="D287" i="5"/>
  <c r="D288" i="5"/>
  <c r="D289" i="5"/>
  <c r="D290" i="5"/>
  <c r="D295" i="5"/>
  <c r="D296" i="5"/>
  <c r="E287" i="5"/>
  <c r="E288" i="5"/>
  <c r="E289" i="5"/>
  <c r="E290" i="5"/>
  <c r="E295" i="5"/>
  <c r="E296" i="5"/>
  <c r="F287" i="5"/>
  <c r="F288" i="5"/>
  <c r="F289" i="5"/>
  <c r="F290" i="5"/>
  <c r="F295" i="5"/>
  <c r="F296" i="5"/>
  <c r="G287" i="5"/>
  <c r="G288" i="5"/>
  <c r="G289" i="5"/>
  <c r="G290" i="5"/>
  <c r="G295" i="5"/>
  <c r="G296" i="5"/>
  <c r="H287" i="5"/>
  <c r="H288" i="5"/>
  <c r="H289" i="5"/>
  <c r="H290" i="5"/>
  <c r="H295" i="5"/>
  <c r="H296" i="5"/>
  <c r="I287" i="5"/>
  <c r="I288" i="5"/>
  <c r="I289" i="5"/>
  <c r="I290" i="5"/>
  <c r="I295" i="5"/>
  <c r="I296" i="5"/>
  <c r="J287" i="5"/>
  <c r="J288" i="5"/>
  <c r="J289" i="5"/>
  <c r="J290" i="5"/>
  <c r="J295" i="5"/>
  <c r="J296" i="5"/>
  <c r="K287" i="5"/>
  <c r="K288" i="5"/>
  <c r="K289" i="5"/>
  <c r="K290" i="5"/>
  <c r="K295" i="5"/>
  <c r="K296" i="5"/>
  <c r="L287" i="5"/>
  <c r="L288" i="5"/>
  <c r="L289" i="5"/>
  <c r="L290" i="5"/>
  <c r="L295" i="5"/>
  <c r="L296" i="5"/>
  <c r="M287" i="5"/>
  <c r="M288" i="5"/>
  <c r="M289" i="5"/>
  <c r="M290" i="5"/>
  <c r="M295" i="5"/>
  <c r="M296" i="5"/>
  <c r="B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E258" i="5"/>
  <c r="E259" i="5"/>
  <c r="E260" i="5"/>
  <c r="E261" i="5"/>
  <c r="F260" i="5"/>
  <c r="F261" i="5"/>
  <c r="E262" i="5"/>
  <c r="E263" i="5"/>
  <c r="F262" i="5"/>
  <c r="F263" i="5"/>
  <c r="E264" i="5"/>
  <c r="E265" i="5"/>
  <c r="E266" i="5"/>
  <c r="E267" i="5"/>
  <c r="F266" i="5"/>
  <c r="F267" i="5"/>
  <c r="E268" i="5"/>
  <c r="E269" i="5"/>
  <c r="F258" i="5"/>
  <c r="F259" i="5"/>
  <c r="G258" i="5"/>
  <c r="G259" i="5"/>
  <c r="F264" i="5"/>
  <c r="F265" i="5"/>
  <c r="G266" i="5"/>
  <c r="G267" i="5"/>
  <c r="F268" i="5"/>
  <c r="F269" i="5"/>
  <c r="G260" i="5"/>
  <c r="G261" i="5"/>
  <c r="G262" i="5"/>
  <c r="G263" i="5"/>
  <c r="G264" i="5"/>
  <c r="G265" i="5"/>
  <c r="G268" i="5"/>
  <c r="G269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I258" i="5"/>
  <c r="I259" i="5"/>
  <c r="J258" i="5"/>
  <c r="J259" i="5"/>
  <c r="I260" i="5"/>
  <c r="I261" i="5"/>
  <c r="J260" i="5"/>
  <c r="J261" i="5"/>
  <c r="I262" i="5"/>
  <c r="I263" i="5"/>
  <c r="I264" i="5"/>
  <c r="I265" i="5"/>
  <c r="J264" i="5"/>
  <c r="J265" i="5"/>
  <c r="I266" i="5"/>
  <c r="I267" i="5"/>
  <c r="I268" i="5"/>
  <c r="I269" i="5"/>
  <c r="K258" i="5"/>
  <c r="K259" i="5"/>
  <c r="J262" i="5"/>
  <c r="J263" i="5"/>
  <c r="J266" i="5"/>
  <c r="J267" i="5"/>
  <c r="K266" i="5"/>
  <c r="K267" i="5"/>
  <c r="J268" i="5"/>
  <c r="J269" i="5"/>
  <c r="K260" i="5"/>
  <c r="K261" i="5"/>
  <c r="K262" i="5"/>
  <c r="K263" i="5"/>
  <c r="K264" i="5"/>
  <c r="K265" i="5"/>
  <c r="K268" i="5"/>
  <c r="K269" i="5"/>
  <c r="L258" i="5"/>
  <c r="L259" i="5"/>
  <c r="M258" i="5"/>
  <c r="M259" i="5"/>
  <c r="L260" i="5"/>
  <c r="L261" i="5"/>
  <c r="L262" i="5"/>
  <c r="L263" i="5"/>
  <c r="M262" i="5"/>
  <c r="M263" i="5"/>
  <c r="L264" i="5"/>
  <c r="L265" i="5"/>
  <c r="L266" i="5"/>
  <c r="L267" i="5"/>
  <c r="M266" i="5"/>
  <c r="M267" i="5"/>
  <c r="L268" i="5"/>
  <c r="L269" i="5"/>
  <c r="M260" i="5"/>
  <c r="M261" i="5"/>
  <c r="M264" i="5"/>
  <c r="M265" i="5"/>
  <c r="M268" i="5"/>
  <c r="M269" i="5"/>
  <c r="B222" i="5"/>
  <c r="B221" i="5"/>
  <c r="D223" i="5"/>
  <c r="D224" i="5"/>
  <c r="D226" i="5"/>
  <c r="D228" i="5"/>
  <c r="D230" i="5"/>
  <c r="D232" i="5"/>
  <c r="D233" i="5"/>
  <c r="D234" i="5"/>
  <c r="E223" i="5"/>
  <c r="E224" i="5"/>
  <c r="E225" i="5"/>
  <c r="E226" i="5"/>
  <c r="F225" i="5"/>
  <c r="F226" i="5"/>
  <c r="E227" i="5"/>
  <c r="E228" i="5"/>
  <c r="F227" i="5"/>
  <c r="F228" i="5"/>
  <c r="E229" i="5"/>
  <c r="E230" i="5"/>
  <c r="E231" i="5"/>
  <c r="E232" i="5"/>
  <c r="E233" i="5"/>
  <c r="E234" i="5"/>
  <c r="F233" i="5"/>
  <c r="F234" i="5"/>
  <c r="F223" i="5"/>
  <c r="F224" i="5"/>
  <c r="G223" i="5"/>
  <c r="G224" i="5"/>
  <c r="G225" i="5"/>
  <c r="G226" i="5"/>
  <c r="F229" i="5"/>
  <c r="F230" i="5"/>
  <c r="G229" i="5"/>
  <c r="G230" i="5"/>
  <c r="F231" i="5"/>
  <c r="F232" i="5"/>
  <c r="H225" i="5"/>
  <c r="H226" i="5"/>
  <c r="G227" i="5"/>
  <c r="G228" i="5"/>
  <c r="G231" i="5"/>
  <c r="G232" i="5"/>
  <c r="G233" i="5"/>
  <c r="G234" i="5"/>
  <c r="H233" i="5"/>
  <c r="H234" i="5"/>
  <c r="H223" i="5"/>
  <c r="H224" i="5"/>
  <c r="H227" i="5"/>
  <c r="H228" i="5"/>
  <c r="H229" i="5"/>
  <c r="H230" i="5"/>
  <c r="H231" i="5"/>
  <c r="H232" i="5"/>
  <c r="I223" i="5"/>
  <c r="I224" i="5"/>
  <c r="I225" i="5"/>
  <c r="I226" i="5"/>
  <c r="J225" i="5"/>
  <c r="J226" i="5"/>
  <c r="I227" i="5"/>
  <c r="I228" i="5"/>
  <c r="J227" i="5"/>
  <c r="J228" i="5"/>
  <c r="I229" i="5"/>
  <c r="I230" i="5"/>
  <c r="J229" i="5"/>
  <c r="J230" i="5"/>
  <c r="I231" i="5"/>
  <c r="I232" i="5"/>
  <c r="I233" i="5"/>
  <c r="I234" i="5"/>
  <c r="J223" i="5"/>
  <c r="J224" i="5"/>
  <c r="K227" i="5"/>
  <c r="K228" i="5"/>
  <c r="J231" i="5"/>
  <c r="J232" i="5"/>
  <c r="K231" i="5"/>
  <c r="K232" i="5"/>
  <c r="J233" i="5"/>
  <c r="J234" i="5"/>
  <c r="K233" i="5"/>
  <c r="K234" i="5"/>
  <c r="K223" i="5"/>
  <c r="K224" i="5"/>
  <c r="K225" i="5"/>
  <c r="K226" i="5"/>
  <c r="K229" i="5"/>
  <c r="K230" i="5"/>
  <c r="L229" i="5"/>
  <c r="L230" i="5"/>
  <c r="L223" i="5"/>
  <c r="L224" i="5"/>
  <c r="M223" i="5"/>
  <c r="M224" i="5"/>
  <c r="L225" i="5"/>
  <c r="L226" i="5"/>
  <c r="L227" i="5"/>
  <c r="L228" i="5"/>
  <c r="L231" i="5"/>
  <c r="L232" i="5"/>
  <c r="M231" i="5"/>
  <c r="M232" i="5"/>
  <c r="L233" i="5"/>
  <c r="L234" i="5"/>
  <c r="M225" i="5"/>
  <c r="M226" i="5"/>
  <c r="M227" i="5"/>
  <c r="M228" i="5"/>
  <c r="M229" i="5"/>
  <c r="M230" i="5"/>
  <c r="M233" i="5"/>
  <c r="M234" i="5"/>
  <c r="D130" i="5"/>
  <c r="E130" i="5"/>
  <c r="F130" i="5"/>
  <c r="G130" i="5"/>
  <c r="H130" i="5"/>
  <c r="I130" i="5"/>
  <c r="J130" i="5"/>
  <c r="K130" i="5"/>
  <c r="L130" i="5"/>
  <c r="M130" i="5"/>
  <c r="D142" i="5"/>
  <c r="E142" i="5"/>
  <c r="F142" i="5"/>
  <c r="G142" i="5"/>
  <c r="H142" i="5"/>
  <c r="I142" i="5"/>
  <c r="J142" i="5"/>
  <c r="K142" i="5"/>
  <c r="L142" i="5"/>
  <c r="M142" i="5"/>
  <c r="D155" i="5"/>
  <c r="E155" i="5"/>
  <c r="F155" i="5"/>
  <c r="G155" i="5"/>
  <c r="H155" i="5"/>
  <c r="I155" i="5"/>
  <c r="J155" i="5"/>
  <c r="K155" i="5"/>
  <c r="L155" i="5"/>
  <c r="M155" i="5"/>
  <c r="G102" i="4"/>
  <c r="E23" i="1"/>
  <c r="G52" i="4"/>
  <c r="G71" i="4"/>
  <c r="D23" i="3"/>
  <c r="G27" i="4"/>
  <c r="E8" i="1"/>
  <c r="G39" i="4"/>
  <c r="E11" i="1"/>
  <c r="D37" i="5"/>
  <c r="D57" i="5"/>
  <c r="D75" i="5"/>
  <c r="D95" i="5"/>
  <c r="D113" i="5"/>
  <c r="E23" i="3"/>
  <c r="E37" i="5"/>
  <c r="E57" i="5"/>
  <c r="E75" i="5"/>
  <c r="E95" i="5"/>
  <c r="E113" i="5"/>
  <c r="F23" i="3"/>
  <c r="F37" i="5"/>
  <c r="F57" i="5"/>
  <c r="F75" i="5"/>
  <c r="F95" i="5"/>
  <c r="F113" i="5"/>
  <c r="G23" i="3"/>
  <c r="G37" i="5"/>
  <c r="G57" i="5"/>
  <c r="G75" i="5"/>
  <c r="G95" i="5"/>
  <c r="G113" i="5"/>
  <c r="H23" i="3"/>
  <c r="H37" i="5"/>
  <c r="H57" i="5"/>
  <c r="H75" i="5"/>
  <c r="H95" i="5"/>
  <c r="H113" i="5"/>
  <c r="I23" i="3"/>
  <c r="I37" i="5"/>
  <c r="I57" i="5"/>
  <c r="I75" i="5"/>
  <c r="I95" i="5"/>
  <c r="I113" i="5"/>
  <c r="J23" i="3"/>
  <c r="J37" i="5"/>
  <c r="J57" i="5"/>
  <c r="J75" i="5"/>
  <c r="J95" i="5"/>
  <c r="J113" i="5"/>
  <c r="K23" i="3"/>
  <c r="K37" i="5"/>
  <c r="K57" i="5"/>
  <c r="K75" i="5"/>
  <c r="K95" i="5"/>
  <c r="K113" i="5"/>
  <c r="L23" i="3"/>
  <c r="L37" i="5"/>
  <c r="L57" i="5"/>
  <c r="L75" i="5"/>
  <c r="L95" i="5"/>
  <c r="L113" i="5"/>
  <c r="M23" i="3"/>
  <c r="M37" i="5"/>
  <c r="M57" i="5"/>
  <c r="M75" i="5"/>
  <c r="M95" i="5"/>
  <c r="M113" i="5"/>
  <c r="D17" i="8"/>
  <c r="C17" i="8"/>
  <c r="B17" i="8"/>
  <c r="D16" i="8"/>
  <c r="C16" i="8"/>
  <c r="B16" i="8"/>
  <c r="B15" i="8"/>
  <c r="D4" i="8"/>
  <c r="C4" i="8"/>
  <c r="B4" i="8"/>
  <c r="C15" i="8"/>
  <c r="D15" i="8"/>
  <c r="B27" i="8"/>
  <c r="E22" i="8"/>
  <c r="E12" i="8"/>
  <c r="E182" i="5"/>
  <c r="E170" i="5"/>
  <c r="E158" i="5"/>
  <c r="E145" i="5"/>
  <c r="E133" i="5"/>
  <c r="E121" i="5"/>
  <c r="I301" i="5"/>
  <c r="A268" i="5"/>
  <c r="A266" i="5"/>
  <c r="A264" i="5"/>
  <c r="A262" i="5"/>
  <c r="A255" i="5"/>
  <c r="A254" i="5"/>
  <c r="A253" i="5"/>
  <c r="A252" i="5"/>
  <c r="D219" i="5"/>
  <c r="D218" i="5"/>
  <c r="D217" i="5"/>
  <c r="D216" i="5"/>
  <c r="D215" i="5"/>
  <c r="D214" i="5"/>
  <c r="A233" i="5"/>
  <c r="A231" i="5"/>
  <c r="A229" i="5"/>
  <c r="A227" i="5"/>
  <c r="A225" i="5"/>
  <c r="A219" i="5"/>
  <c r="A218" i="5"/>
  <c r="A217" i="5"/>
  <c r="A216" i="5"/>
  <c r="A215" i="5"/>
  <c r="J10" i="5"/>
  <c r="J11" i="5"/>
  <c r="A11" i="5"/>
  <c r="A289" i="5"/>
  <c r="A287" i="5"/>
  <c r="B256" i="5"/>
  <c r="B249" i="5"/>
  <c r="A251" i="5"/>
  <c r="A250" i="5"/>
  <c r="A260" i="5"/>
  <c r="A258" i="5"/>
  <c r="A214" i="5"/>
  <c r="A223" i="5"/>
  <c r="M4" i="3"/>
  <c r="L4" i="3"/>
  <c r="K4" i="3"/>
  <c r="J4" i="3"/>
  <c r="I4" i="3"/>
  <c r="H4" i="3"/>
  <c r="G4" i="3"/>
  <c r="F4" i="3"/>
  <c r="E4" i="3"/>
  <c r="D4" i="3"/>
  <c r="C4" i="3"/>
  <c r="B4" i="3"/>
  <c r="N28" i="3"/>
  <c r="N4" i="3"/>
  <c r="A35" i="6"/>
  <c r="A34" i="6"/>
  <c r="A33" i="6"/>
  <c r="A32" i="6"/>
  <c r="A31" i="6"/>
  <c r="A30" i="6"/>
  <c r="A29" i="6"/>
  <c r="A28" i="6"/>
  <c r="A27" i="6"/>
  <c r="A26" i="6"/>
  <c r="N37" i="6"/>
  <c r="N19" i="6"/>
  <c r="A17" i="6"/>
  <c r="A16" i="6"/>
  <c r="A15" i="6"/>
  <c r="A14" i="6"/>
  <c r="A13" i="6"/>
  <c r="A12" i="6"/>
  <c r="A11" i="6"/>
  <c r="A10" i="6"/>
  <c r="A9" i="6"/>
  <c r="A8" i="6"/>
  <c r="M4" i="6"/>
  <c r="L4" i="6"/>
  <c r="K4" i="6"/>
  <c r="J4" i="6"/>
  <c r="I4" i="6"/>
  <c r="H4" i="6"/>
  <c r="G4" i="6"/>
  <c r="F4" i="6"/>
  <c r="E4" i="6"/>
  <c r="D4" i="6"/>
  <c r="C4" i="6"/>
  <c r="B4" i="6"/>
  <c r="H25" i="4"/>
  <c r="H24" i="4"/>
  <c r="H23" i="4"/>
  <c r="H22" i="4"/>
  <c r="H11" i="4"/>
  <c r="H32" i="4"/>
  <c r="A93" i="4"/>
  <c r="A92" i="4"/>
  <c r="A91" i="4"/>
  <c r="A90" i="4"/>
  <c r="A89" i="4"/>
  <c r="H79" i="4"/>
  <c r="H80" i="4"/>
  <c r="H82" i="4"/>
  <c r="H81" i="4"/>
  <c r="H83" i="4"/>
  <c r="H68" i="4"/>
  <c r="H65" i="4"/>
  <c r="H66" i="4"/>
  <c r="H67" i="4"/>
  <c r="H69" i="4"/>
  <c r="H70" i="4"/>
  <c r="H105" i="4"/>
  <c r="H101" i="4"/>
  <c r="H100" i="4"/>
  <c r="H99" i="4"/>
  <c r="H94" i="4"/>
  <c r="H55" i="4"/>
  <c r="H59" i="4"/>
  <c r="H61" i="4"/>
  <c r="H42" i="4"/>
  <c r="H48" i="4"/>
  <c r="H49" i="4"/>
  <c r="H50" i="4"/>
  <c r="H51" i="4"/>
  <c r="H38" i="4"/>
  <c r="H30" i="4"/>
  <c r="H31" i="4"/>
  <c r="H33" i="4"/>
  <c r="H34" i="4"/>
  <c r="H35" i="4"/>
  <c r="H36" i="4"/>
  <c r="H37" i="4"/>
  <c r="H20" i="4"/>
  <c r="H21" i="4"/>
  <c r="H26" i="4"/>
  <c r="C4" i="1"/>
  <c r="D4" i="1"/>
  <c r="E4" i="1"/>
  <c r="B24" i="1"/>
  <c r="A24" i="1"/>
  <c r="B23" i="1"/>
  <c r="A23" i="1"/>
  <c r="B20" i="1"/>
  <c r="A20" i="1"/>
  <c r="A17" i="1"/>
  <c r="B17" i="1"/>
  <c r="B16" i="1"/>
  <c r="A16" i="1"/>
  <c r="A15" i="1"/>
  <c r="A14" i="1"/>
  <c r="A11" i="1"/>
  <c r="A8" i="1"/>
  <c r="B15" i="1"/>
  <c r="B14" i="1"/>
  <c r="B11" i="1"/>
  <c r="B8" i="1"/>
  <c r="B6" i="1"/>
  <c r="E48" i="2"/>
  <c r="F26" i="3"/>
  <c r="B90" i="5"/>
  <c r="C87" i="5"/>
  <c r="B70" i="5"/>
  <c r="C67" i="5"/>
  <c r="C13" i="6"/>
  <c r="C33" i="6"/>
  <c r="C25" i="3"/>
  <c r="B108" i="5"/>
  <c r="C105" i="5"/>
  <c r="C29" i="6"/>
  <c r="C82" i="5"/>
  <c r="C85" i="5"/>
  <c r="D82" i="5"/>
  <c r="D85" i="5"/>
  <c r="E82" i="5"/>
  <c r="E85" i="5"/>
  <c r="C9" i="6"/>
  <c r="C18" i="6"/>
  <c r="C100" i="5"/>
  <c r="C103" i="5"/>
  <c r="D100" i="5"/>
  <c r="D103" i="5"/>
  <c r="E100" i="5"/>
  <c r="E103" i="5"/>
  <c r="F100" i="5"/>
  <c r="F103" i="5"/>
  <c r="G100" i="5"/>
  <c r="G103" i="5"/>
  <c r="H100" i="5"/>
  <c r="H103" i="5"/>
  <c r="E95" i="4"/>
  <c r="C89" i="4"/>
  <c r="B32" i="5"/>
  <c r="C90" i="4"/>
  <c r="B52" i="5"/>
  <c r="B92" i="5"/>
  <c r="D12" i="2"/>
  <c r="C36" i="6"/>
  <c r="C32" i="6"/>
  <c r="C28" i="6"/>
  <c r="C16" i="6"/>
  <c r="C12" i="6"/>
  <c r="C17" i="6"/>
  <c r="C24" i="3"/>
  <c r="C24" i="5"/>
  <c r="C27" i="5"/>
  <c r="C95" i="4"/>
  <c r="B18" i="8"/>
  <c r="B19" i="8"/>
  <c r="G95" i="4"/>
  <c r="C35" i="6"/>
  <c r="C31" i="6"/>
  <c r="C27" i="6"/>
  <c r="C15" i="6"/>
  <c r="C11" i="6"/>
  <c r="C8" i="6"/>
  <c r="C62" i="5"/>
  <c r="C65" i="5"/>
  <c r="D62" i="5"/>
  <c r="D65" i="5"/>
  <c r="E62" i="5"/>
  <c r="E65" i="5"/>
  <c r="F62" i="5"/>
  <c r="F65" i="5"/>
  <c r="G62" i="5"/>
  <c r="G65" i="5"/>
  <c r="H62" i="5"/>
  <c r="H65" i="5"/>
  <c r="I62" i="5"/>
  <c r="I65" i="5"/>
  <c r="J62" i="5"/>
  <c r="J65" i="5"/>
  <c r="E16" i="2"/>
  <c r="E17" i="2"/>
  <c r="D192" i="5"/>
  <c r="D19" i="3"/>
  <c r="C34" i="6"/>
  <c r="C30" i="6"/>
  <c r="C26" i="6"/>
  <c r="C14" i="6"/>
  <c r="C10" i="6"/>
  <c r="C17" i="1"/>
  <c r="G242" i="5"/>
  <c r="I276" i="5"/>
  <c r="B17" i="3"/>
  <c r="B20" i="3"/>
  <c r="C17" i="3"/>
  <c r="B29" i="3"/>
  <c r="D17" i="2"/>
  <c r="B28" i="8"/>
  <c r="E27" i="2"/>
  <c r="C35" i="3"/>
  <c r="C30" i="2"/>
  <c r="E277" i="5"/>
  <c r="H237" i="5"/>
  <c r="H8" i="3"/>
  <c r="F241" i="5"/>
  <c r="E84" i="4"/>
  <c r="E115" i="4"/>
  <c r="H8" i="4"/>
  <c r="N287" i="5"/>
  <c r="I240" i="5"/>
  <c r="L276" i="5"/>
  <c r="I277" i="5"/>
  <c r="K275" i="5"/>
  <c r="H272" i="5"/>
  <c r="C272" i="5"/>
  <c r="B291" i="5"/>
  <c r="L241" i="5"/>
  <c r="J241" i="5"/>
  <c r="E275" i="5"/>
  <c r="E273" i="5"/>
  <c r="E239" i="5"/>
  <c r="C6" i="1"/>
  <c r="C9" i="1"/>
  <c r="C12" i="1"/>
  <c r="B225" i="5"/>
  <c r="H14" i="4"/>
  <c r="B233" i="5"/>
  <c r="B242" i="5"/>
  <c r="H12" i="4"/>
  <c r="D229" i="5"/>
  <c r="D240" i="5"/>
  <c r="H9" i="4"/>
  <c r="D6" i="1"/>
  <c r="E6" i="1"/>
  <c r="E9" i="1"/>
  <c r="E12" i="1"/>
  <c r="C223" i="5"/>
  <c r="C237" i="5"/>
  <c r="B18" i="3"/>
  <c r="C23" i="8"/>
  <c r="F66" i="2"/>
  <c r="D23" i="8"/>
  <c r="H39" i="4"/>
  <c r="B72" i="5"/>
  <c r="D11" i="2"/>
  <c r="H27" i="4"/>
  <c r="C19" i="3"/>
  <c r="B239" i="5"/>
  <c r="B237" i="5"/>
  <c r="C18" i="3"/>
  <c r="E51" i="2"/>
  <c r="G107" i="4"/>
  <c r="M240" i="5"/>
  <c r="L237" i="5"/>
  <c r="K240" i="5"/>
  <c r="J237" i="5"/>
  <c r="J8" i="3"/>
  <c r="H241" i="5"/>
  <c r="F237" i="5"/>
  <c r="F8" i="3"/>
  <c r="L275" i="5"/>
  <c r="L272" i="5"/>
  <c r="I273" i="5"/>
  <c r="I272" i="5"/>
  <c r="I15" i="3"/>
  <c r="H276" i="5"/>
  <c r="G275" i="5"/>
  <c r="F272" i="5"/>
  <c r="D276" i="5"/>
  <c r="D272" i="5"/>
  <c r="C274" i="5"/>
  <c r="H102" i="4"/>
  <c r="H78" i="4"/>
  <c r="H84" i="4"/>
  <c r="G84" i="4"/>
  <c r="G62" i="4"/>
  <c r="H60" i="4"/>
  <c r="H62" i="4"/>
  <c r="I305" i="5"/>
  <c r="N289" i="5"/>
  <c r="B270" i="5"/>
  <c r="E14" i="1"/>
  <c r="F14" i="1"/>
  <c r="D48" i="2"/>
  <c r="F48" i="2"/>
  <c r="B23" i="8"/>
  <c r="C69" i="2"/>
  <c r="C71" i="2"/>
  <c r="B21" i="3"/>
  <c r="M242" i="5"/>
  <c r="M238" i="5"/>
  <c r="L239" i="5"/>
  <c r="J242" i="5"/>
  <c r="I241" i="5"/>
  <c r="I239" i="5"/>
  <c r="I237" i="5"/>
  <c r="I8" i="3"/>
  <c r="I242" i="5"/>
  <c r="H239" i="5"/>
  <c r="I238" i="5"/>
  <c r="E242" i="5"/>
  <c r="E241" i="5"/>
  <c r="E238" i="5"/>
  <c r="E237" i="5"/>
  <c r="E8" i="3"/>
  <c r="K277" i="5"/>
  <c r="J277" i="5"/>
  <c r="J276" i="5"/>
  <c r="K273" i="5"/>
  <c r="I275" i="5"/>
  <c r="I274" i="5"/>
  <c r="H277" i="5"/>
  <c r="H274" i="5"/>
  <c r="H273" i="5"/>
  <c r="G277" i="5"/>
  <c r="G273" i="5"/>
  <c r="E276" i="5"/>
  <c r="E272" i="5"/>
  <c r="D277" i="5"/>
  <c r="D273" i="5"/>
  <c r="B305" i="5"/>
  <c r="B306" i="5"/>
  <c r="C276" i="5"/>
  <c r="C275" i="5"/>
  <c r="B27" i="3"/>
  <c r="E16" i="1"/>
  <c r="F16" i="1"/>
  <c r="M273" i="5"/>
  <c r="L274" i="5"/>
  <c r="C240" i="5"/>
  <c r="B21" i="6"/>
  <c r="B201" i="5"/>
  <c r="E108" i="4"/>
  <c r="E52" i="2"/>
  <c r="H71" i="4"/>
  <c r="B310" i="5"/>
  <c r="B16" i="3"/>
  <c r="I291" i="5"/>
  <c r="E250" i="5"/>
  <c r="B21" i="8"/>
  <c r="J240" i="5"/>
  <c r="D241" i="5"/>
  <c r="D238" i="5"/>
  <c r="K274" i="5"/>
  <c r="C9" i="3"/>
  <c r="C239" i="5"/>
  <c r="D54" i="2"/>
  <c r="D55" i="2"/>
  <c r="B274" i="5"/>
  <c r="B273" i="5"/>
  <c r="B272" i="5"/>
  <c r="K242" i="5"/>
  <c r="D242" i="5"/>
  <c r="G274" i="5"/>
  <c r="D274" i="5"/>
  <c r="J291" i="5"/>
  <c r="E16" i="8"/>
  <c r="G237" i="5"/>
  <c r="G8" i="3"/>
  <c r="F239" i="5"/>
  <c r="J275" i="5"/>
  <c r="K237" i="5"/>
  <c r="M277" i="5"/>
  <c r="F276" i="5"/>
  <c r="M291" i="5"/>
  <c r="N288" i="5"/>
  <c r="M305" i="5"/>
  <c r="G239" i="5"/>
  <c r="H238" i="5"/>
  <c r="G241" i="5"/>
  <c r="D239" i="5"/>
  <c r="J274" i="5"/>
  <c r="G272" i="5"/>
  <c r="D275" i="5"/>
  <c r="N23" i="3"/>
  <c r="K238" i="5"/>
  <c r="G238" i="5"/>
  <c r="M274" i="5"/>
  <c r="J272" i="5"/>
  <c r="F275" i="5"/>
  <c r="C14" i="2"/>
  <c r="E106" i="4"/>
  <c r="E50" i="2"/>
  <c r="G106" i="4"/>
  <c r="F50" i="2"/>
  <c r="B276" i="5"/>
  <c r="B275" i="5"/>
  <c r="G26" i="3"/>
  <c r="H35" i="3"/>
  <c r="G29" i="3"/>
  <c r="F29" i="3"/>
  <c r="D44" i="5"/>
  <c r="D47" i="5"/>
  <c r="C29" i="3"/>
  <c r="G35" i="3"/>
  <c r="F35" i="3"/>
  <c r="H52" i="4"/>
  <c r="F63" i="2"/>
  <c r="C30" i="3"/>
  <c r="F8" i="1"/>
  <c r="F23" i="1"/>
  <c r="J305" i="5"/>
  <c r="E15" i="8"/>
  <c r="E17" i="8"/>
  <c r="L242" i="5"/>
  <c r="M239" i="5"/>
  <c r="L238" i="5"/>
  <c r="L240" i="5"/>
  <c r="J239" i="5"/>
  <c r="J238" i="5"/>
  <c r="H240" i="5"/>
  <c r="G240" i="5"/>
  <c r="M276" i="5"/>
  <c r="M275" i="5"/>
  <c r="K276" i="5"/>
  <c r="K272" i="5"/>
  <c r="K15" i="3"/>
  <c r="J273" i="5"/>
  <c r="G276" i="5"/>
  <c r="F274" i="5"/>
  <c r="F273" i="5"/>
  <c r="E274" i="5"/>
  <c r="C9" i="2"/>
  <c r="B39" i="6"/>
  <c r="B202" i="5"/>
  <c r="C277" i="5"/>
  <c r="C273" i="5"/>
  <c r="B30" i="3"/>
  <c r="B277" i="5"/>
  <c r="B9" i="3"/>
  <c r="B240" i="5"/>
  <c r="M241" i="5"/>
  <c r="M237" i="5"/>
  <c r="M8" i="3"/>
  <c r="K241" i="5"/>
  <c r="H242" i="5"/>
  <c r="F242" i="5"/>
  <c r="F240" i="5"/>
  <c r="F238" i="5"/>
  <c r="M272" i="5"/>
  <c r="M15" i="3"/>
  <c r="L277" i="5"/>
  <c r="L273" i="5"/>
  <c r="H275" i="5"/>
  <c r="F277" i="5"/>
  <c r="E53" i="2"/>
  <c r="G109" i="4"/>
  <c r="C241" i="5"/>
  <c r="F11" i="1"/>
  <c r="L291" i="5"/>
  <c r="L305" i="5"/>
  <c r="K305" i="5"/>
  <c r="K291" i="5"/>
  <c r="B295" i="5"/>
  <c r="N290" i="5"/>
  <c r="H305" i="5"/>
  <c r="H291" i="5"/>
  <c r="G291" i="5"/>
  <c r="G305" i="5"/>
  <c r="F291" i="5"/>
  <c r="F305" i="5"/>
  <c r="E305" i="5"/>
  <c r="E291" i="5"/>
  <c r="D291" i="5"/>
  <c r="D305" i="5"/>
  <c r="C291" i="5"/>
  <c r="C305" i="5"/>
  <c r="B22" i="3"/>
  <c r="F196" i="5"/>
  <c r="K239" i="5"/>
  <c r="B241" i="5"/>
  <c r="B110" i="5"/>
  <c r="D13" i="2"/>
  <c r="C89" i="5"/>
  <c r="C90" i="5"/>
  <c r="H15" i="3"/>
  <c r="C18" i="8"/>
  <c r="C19" i="8"/>
  <c r="C18" i="1"/>
  <c r="B6" i="8"/>
  <c r="F16" i="2"/>
  <c r="D26" i="3"/>
  <c r="C26" i="3"/>
  <c r="E29" i="3"/>
  <c r="D29" i="3"/>
  <c r="C107" i="5"/>
  <c r="H95" i="4"/>
  <c r="C39" i="6"/>
  <c r="C202" i="5"/>
  <c r="C21" i="6"/>
  <c r="C201" i="5"/>
  <c r="F17" i="2"/>
  <c r="C69" i="5"/>
  <c r="E91" i="4"/>
  <c r="C49" i="5"/>
  <c r="C51" i="5"/>
  <c r="E90" i="4"/>
  <c r="B54" i="5"/>
  <c r="D7" i="2"/>
  <c r="D18" i="3"/>
  <c r="D24" i="5"/>
  <c r="D27" i="5"/>
  <c r="E24" i="5"/>
  <c r="E27" i="5"/>
  <c r="F24" i="5"/>
  <c r="F27" i="5"/>
  <c r="G24" i="5"/>
  <c r="G27" i="5"/>
  <c r="H24" i="5"/>
  <c r="H27" i="5"/>
  <c r="I24" i="5"/>
  <c r="I27" i="5"/>
  <c r="J24" i="5"/>
  <c r="J27" i="5"/>
  <c r="K24" i="5"/>
  <c r="K27" i="5"/>
  <c r="B34" i="5"/>
  <c r="D6" i="2"/>
  <c r="C29" i="5"/>
  <c r="C31" i="5"/>
  <c r="E89" i="4"/>
  <c r="D11" i="6"/>
  <c r="D26" i="6"/>
  <c r="D34" i="6"/>
  <c r="D31" i="6"/>
  <c r="D16" i="6"/>
  <c r="D8" i="6"/>
  <c r="E192" i="5"/>
  <c r="D29" i="6"/>
  <c r="D14" i="6"/>
  <c r="D32" i="6"/>
  <c r="D18" i="6"/>
  <c r="D25" i="3"/>
  <c r="D13" i="6"/>
  <c r="D28" i="6"/>
  <c r="D36" i="6"/>
  <c r="D33" i="6"/>
  <c r="D10" i="6"/>
  <c r="D10" i="3"/>
  <c r="D24" i="3"/>
  <c r="D15" i="6"/>
  <c r="D30" i="6"/>
  <c r="D35" i="6"/>
  <c r="D27" i="6"/>
  <c r="D12" i="6"/>
  <c r="D9" i="6"/>
  <c r="D17" i="6"/>
  <c r="D9" i="3"/>
  <c r="D17" i="3"/>
  <c r="C96" i="4"/>
  <c r="C20" i="1"/>
  <c r="G115" i="4"/>
  <c r="D17" i="1"/>
  <c r="E86" i="4"/>
  <c r="G86" i="4"/>
  <c r="C242" i="5"/>
  <c r="B308" i="5"/>
  <c r="D62" i="2"/>
  <c r="D14" i="2"/>
  <c r="B235" i="5"/>
  <c r="C19" i="2"/>
  <c r="C32" i="2"/>
  <c r="C75" i="2"/>
  <c r="B24" i="8"/>
  <c r="F27" i="2"/>
  <c r="D35" i="3"/>
  <c r="C28" i="8"/>
  <c r="L15" i="3"/>
  <c r="B10" i="8"/>
  <c r="E240" i="5"/>
  <c r="E110" i="4"/>
  <c r="C21" i="8"/>
  <c r="C24" i="8"/>
  <c r="C20" i="3"/>
  <c r="B278" i="5"/>
  <c r="D58" i="2"/>
  <c r="C238" i="5"/>
  <c r="G15" i="3"/>
  <c r="D15" i="3"/>
  <c r="B238" i="5"/>
  <c r="B8" i="3"/>
  <c r="D237" i="5"/>
  <c r="D8" i="3"/>
  <c r="H16" i="4"/>
  <c r="F6" i="1"/>
  <c r="D9" i="1"/>
  <c r="D12" i="1"/>
  <c r="E11" i="3"/>
  <c r="E15" i="1"/>
  <c r="F15" i="1"/>
  <c r="K8" i="3"/>
  <c r="B15" i="3"/>
  <c r="B31" i="3"/>
  <c r="F15" i="3"/>
  <c r="E15" i="3"/>
  <c r="J15" i="3"/>
  <c r="B206" i="5"/>
  <c r="D64" i="2"/>
  <c r="D20" i="3"/>
  <c r="E17" i="1"/>
  <c r="C205" i="5"/>
  <c r="C22" i="3"/>
  <c r="C15" i="3"/>
  <c r="E44" i="5"/>
  <c r="E47" i="5"/>
  <c r="K62" i="5"/>
  <c r="K65" i="5"/>
  <c r="I35" i="3"/>
  <c r="D30" i="3"/>
  <c r="F82" i="5"/>
  <c r="F85" i="5"/>
  <c r="I100" i="5"/>
  <c r="I103" i="5"/>
  <c r="H26" i="3"/>
  <c r="N291" i="5"/>
  <c r="L8" i="3"/>
  <c r="B296" i="5"/>
  <c r="B298" i="5"/>
  <c r="G108" i="4"/>
  <c r="F52" i="2"/>
  <c r="F53" i="2"/>
  <c r="F51" i="2"/>
  <c r="E92" i="4"/>
  <c r="C21" i="1"/>
  <c r="C70" i="5"/>
  <c r="D67" i="5"/>
  <c r="D69" i="5"/>
  <c r="G91" i="4"/>
  <c r="D18" i="8"/>
  <c r="D19" i="8"/>
  <c r="E26" i="3"/>
  <c r="D9" i="2"/>
  <c r="C304" i="5"/>
  <c r="C306" i="5"/>
  <c r="D11" i="3"/>
  <c r="C52" i="5"/>
  <c r="C54" i="5"/>
  <c r="E7" i="2"/>
  <c r="C108" i="5"/>
  <c r="E93" i="4"/>
  <c r="D205" i="5"/>
  <c r="D22" i="3"/>
  <c r="D21" i="6"/>
  <c r="D201" i="5"/>
  <c r="D39" i="6"/>
  <c r="D202" i="5"/>
  <c r="E24" i="3"/>
  <c r="E33" i="6"/>
  <c r="E34" i="6"/>
  <c r="E17" i="3"/>
  <c r="E19" i="3"/>
  <c r="E18" i="6"/>
  <c r="E10" i="6"/>
  <c r="E32" i="6"/>
  <c r="E13" i="6"/>
  <c r="E26" i="6"/>
  <c r="E39" i="6"/>
  <c r="E202" i="5"/>
  <c r="E29" i="6"/>
  <c r="E8" i="6"/>
  <c r="E21" i="6"/>
  <c r="E201" i="5"/>
  <c r="F205" i="5"/>
  <c r="F22" i="3"/>
  <c r="E31" i="6"/>
  <c r="E28" i="6"/>
  <c r="E30" i="6"/>
  <c r="E18" i="3"/>
  <c r="E27" i="6"/>
  <c r="E11" i="6"/>
  <c r="E17" i="6"/>
  <c r="E25" i="3"/>
  <c r="E14" i="6"/>
  <c r="E12" i="6"/>
  <c r="E35" i="6"/>
  <c r="E36" i="6"/>
  <c r="E20" i="3"/>
  <c r="F192" i="5"/>
  <c r="E10" i="3"/>
  <c r="E15" i="6"/>
  <c r="E16" i="6"/>
  <c r="E9" i="3"/>
  <c r="E9" i="6"/>
  <c r="D19" i="2"/>
  <c r="C32" i="5"/>
  <c r="F17" i="1"/>
  <c r="D18" i="1"/>
  <c r="C6" i="8"/>
  <c r="C8" i="3"/>
  <c r="C11" i="3"/>
  <c r="B243" i="5"/>
  <c r="D22" i="2"/>
  <c r="D24" i="2"/>
  <c r="C257" i="5"/>
  <c r="C270" i="5"/>
  <c r="C278" i="5"/>
  <c r="E58" i="2"/>
  <c r="E111" i="4"/>
  <c r="C21" i="3"/>
  <c r="D28" i="8"/>
  <c r="E35" i="3"/>
  <c r="E54" i="2"/>
  <c r="C27" i="3"/>
  <c r="C200" i="5"/>
  <c r="C206" i="5"/>
  <c r="D200" i="5"/>
  <c r="F9" i="1"/>
  <c r="C92" i="5"/>
  <c r="E12" i="2"/>
  <c r="D87" i="5"/>
  <c r="N15" i="3"/>
  <c r="E18" i="1"/>
  <c r="D6" i="8"/>
  <c r="F44" i="5"/>
  <c r="F47" i="5"/>
  <c r="H29" i="3"/>
  <c r="I26" i="3"/>
  <c r="I29" i="3"/>
  <c r="J100" i="5"/>
  <c r="J103" i="5"/>
  <c r="G82" i="5"/>
  <c r="G85" i="5"/>
  <c r="F12" i="1"/>
  <c r="E30" i="3"/>
  <c r="J35" i="3"/>
  <c r="L62" i="5"/>
  <c r="L65" i="5"/>
  <c r="L24" i="5"/>
  <c r="L27" i="5"/>
  <c r="C294" i="5"/>
  <c r="C298" i="5"/>
  <c r="D61" i="2"/>
  <c r="B8" i="8"/>
  <c r="B11" i="3"/>
  <c r="E96" i="4"/>
  <c r="D20" i="1"/>
  <c r="D21" i="1"/>
  <c r="C72" i="5"/>
  <c r="E11" i="2"/>
  <c r="C307" i="5"/>
  <c r="C310" i="5"/>
  <c r="C16" i="3"/>
  <c r="C31" i="3"/>
  <c r="C33" i="3"/>
  <c r="N8" i="3"/>
  <c r="D49" i="5"/>
  <c r="D51" i="5"/>
  <c r="G90" i="4"/>
  <c r="D105" i="5"/>
  <c r="C110" i="5"/>
  <c r="E13" i="2"/>
  <c r="D206" i="5"/>
  <c r="F64" i="2"/>
  <c r="F24" i="3"/>
  <c r="F25" i="3"/>
  <c r="F18" i="3"/>
  <c r="F17" i="6"/>
  <c r="F10" i="6"/>
  <c r="F19" i="3"/>
  <c r="F17" i="3"/>
  <c r="F27" i="6"/>
  <c r="F30" i="6"/>
  <c r="F16" i="6"/>
  <c r="F36" i="6"/>
  <c r="F20" i="3"/>
  <c r="F11" i="6"/>
  <c r="F35" i="6"/>
  <c r="F10" i="3"/>
  <c r="F28" i="6"/>
  <c r="F18" i="6"/>
  <c r="F12" i="6"/>
  <c r="F15" i="6"/>
  <c r="F9" i="3"/>
  <c r="F11" i="3"/>
  <c r="F13" i="6"/>
  <c r="G192" i="5"/>
  <c r="F14" i="6"/>
  <c r="F26" i="6"/>
  <c r="F39" i="6"/>
  <c r="F202" i="5"/>
  <c r="F8" i="6"/>
  <c r="F21" i="6"/>
  <c r="F201" i="5"/>
  <c r="G205" i="5"/>
  <c r="G22" i="3"/>
  <c r="F9" i="6"/>
  <c r="F32" i="6"/>
  <c r="F31" i="6"/>
  <c r="F29" i="6"/>
  <c r="F34" i="6"/>
  <c r="F33" i="6"/>
  <c r="C34" i="5"/>
  <c r="E6" i="2"/>
  <c r="E9" i="2"/>
  <c r="D29" i="5"/>
  <c r="E205" i="5"/>
  <c r="E22" i="3"/>
  <c r="D257" i="5"/>
  <c r="D270" i="5"/>
  <c r="D278" i="5"/>
  <c r="F58" i="2"/>
  <c r="C222" i="5"/>
  <c r="C235" i="5"/>
  <c r="C243" i="5"/>
  <c r="D222" i="5"/>
  <c r="D235" i="5"/>
  <c r="D243" i="5"/>
  <c r="C10" i="8"/>
  <c r="G110" i="4"/>
  <c r="E55" i="2"/>
  <c r="E64" i="2"/>
  <c r="D89" i="5"/>
  <c r="G92" i="4"/>
  <c r="D70" i="5"/>
  <c r="E67" i="5"/>
  <c r="G11" i="3"/>
  <c r="M62" i="5"/>
  <c r="M65" i="5"/>
  <c r="M24" i="5"/>
  <c r="M27" i="5"/>
  <c r="K35" i="3"/>
  <c r="F30" i="3"/>
  <c r="E6" i="8"/>
  <c r="F18" i="1"/>
  <c r="H82" i="5"/>
  <c r="H85" i="5"/>
  <c r="K100" i="5"/>
  <c r="K103" i="5"/>
  <c r="J26" i="3"/>
  <c r="G44" i="5"/>
  <c r="G47" i="5"/>
  <c r="B7" i="8"/>
  <c r="D294" i="5"/>
  <c r="D298" i="5"/>
  <c r="E61" i="2"/>
  <c r="E27" i="3"/>
  <c r="B33" i="3"/>
  <c r="B36" i="3"/>
  <c r="E14" i="2"/>
  <c r="E19" i="2"/>
  <c r="C308" i="5"/>
  <c r="E62" i="2"/>
  <c r="C8" i="8"/>
  <c r="D107" i="5"/>
  <c r="G93" i="4"/>
  <c r="E200" i="5"/>
  <c r="E206" i="5"/>
  <c r="F200" i="5"/>
  <c r="F206" i="5"/>
  <c r="D31" i="5"/>
  <c r="G89" i="4"/>
  <c r="G34" i="6"/>
  <c r="G8" i="6"/>
  <c r="G21" i="6"/>
  <c r="G201" i="5"/>
  <c r="H205" i="5"/>
  <c r="H22" i="3"/>
  <c r="G13" i="6"/>
  <c r="G36" i="6"/>
  <c r="H192" i="5"/>
  <c r="G29" i="6"/>
  <c r="G24" i="3"/>
  <c r="G25" i="3"/>
  <c r="G16" i="6"/>
  <c r="G17" i="6"/>
  <c r="G18" i="3"/>
  <c r="G9" i="3"/>
  <c r="G20" i="3"/>
  <c r="G31" i="6"/>
  <c r="G19" i="3"/>
  <c r="G14" i="6"/>
  <c r="G10" i="6"/>
  <c r="G35" i="6"/>
  <c r="G32" i="6"/>
  <c r="G30" i="6"/>
  <c r="G15" i="6"/>
  <c r="G27" i="6"/>
  <c r="G33" i="6"/>
  <c r="G28" i="6"/>
  <c r="G18" i="6"/>
  <c r="G17" i="3"/>
  <c r="G11" i="6"/>
  <c r="G10" i="3"/>
  <c r="G26" i="6"/>
  <c r="G39" i="6"/>
  <c r="G202" i="5"/>
  <c r="G9" i="6"/>
  <c r="G12" i="6"/>
  <c r="D72" i="5"/>
  <c r="F11" i="2"/>
  <c r="E257" i="5"/>
  <c r="E270" i="5"/>
  <c r="E278" i="5"/>
  <c r="F257" i="5"/>
  <c r="F270" i="5"/>
  <c r="F278" i="5"/>
  <c r="E22" i="2"/>
  <c r="E24" i="2"/>
  <c r="C7" i="8"/>
  <c r="F54" i="2"/>
  <c r="F55" i="2"/>
  <c r="D27" i="3"/>
  <c r="D21" i="8"/>
  <c r="D24" i="8"/>
  <c r="G111" i="4"/>
  <c r="D90" i="5"/>
  <c r="K26" i="3"/>
  <c r="K29" i="3"/>
  <c r="E69" i="5"/>
  <c r="E70" i="5"/>
  <c r="G30" i="3"/>
  <c r="D52" i="5"/>
  <c r="J29" i="3"/>
  <c r="H11" i="3"/>
  <c r="H44" i="5"/>
  <c r="H47" i="5"/>
  <c r="L100" i="5"/>
  <c r="L103" i="5"/>
  <c r="I82" i="5"/>
  <c r="I85" i="5"/>
  <c r="E222" i="5"/>
  <c r="E235" i="5"/>
  <c r="E243" i="5"/>
  <c r="F22" i="2"/>
  <c r="F24" i="2"/>
  <c r="F27" i="3"/>
  <c r="B9" i="8"/>
  <c r="B11" i="8"/>
  <c r="B13" i="8"/>
  <c r="B26" i="8"/>
  <c r="B29" i="8"/>
  <c r="B37" i="3"/>
  <c r="E21" i="3"/>
  <c r="E294" i="5"/>
  <c r="E297" i="5"/>
  <c r="F61" i="2"/>
  <c r="D304" i="5"/>
  <c r="D307" i="5"/>
  <c r="G96" i="4"/>
  <c r="E20" i="1"/>
  <c r="E21" i="1"/>
  <c r="D108" i="5"/>
  <c r="E105" i="5"/>
  <c r="H28" i="6"/>
  <c r="H27" i="6"/>
  <c r="H15" i="6"/>
  <c r="H17" i="3"/>
  <c r="H14" i="6"/>
  <c r="I192" i="5"/>
  <c r="H32" i="6"/>
  <c r="H31" i="6"/>
  <c r="H12" i="6"/>
  <c r="H34" i="6"/>
  <c r="H33" i="6"/>
  <c r="H16" i="6"/>
  <c r="H36" i="6"/>
  <c r="H35" i="6"/>
  <c r="H26" i="6"/>
  <c r="H39" i="6"/>
  <c r="H202" i="5"/>
  <c r="H18" i="3"/>
  <c r="H18" i="6"/>
  <c r="H9" i="6"/>
  <c r="H20" i="3"/>
  <c r="H19" i="3"/>
  <c r="H9" i="3"/>
  <c r="H25" i="3"/>
  <c r="H24" i="3"/>
  <c r="H13" i="6"/>
  <c r="H11" i="6"/>
  <c r="H17" i="6"/>
  <c r="H30" i="6"/>
  <c r="H29" i="6"/>
  <c r="H8" i="6"/>
  <c r="H21" i="6"/>
  <c r="H201" i="5"/>
  <c r="I205" i="5"/>
  <c r="I22" i="3"/>
  <c r="H10" i="3"/>
  <c r="H10" i="6"/>
  <c r="D32" i="5"/>
  <c r="D7" i="8"/>
  <c r="D306" i="5"/>
  <c r="D21" i="3"/>
  <c r="D10" i="8"/>
  <c r="E87" i="5"/>
  <c r="D92" i="5"/>
  <c r="F12" i="2"/>
  <c r="M35" i="3"/>
  <c r="J82" i="5"/>
  <c r="J85" i="5"/>
  <c r="G257" i="5"/>
  <c r="G270" i="5"/>
  <c r="G278" i="5"/>
  <c r="M100" i="5"/>
  <c r="M103" i="5"/>
  <c r="I44" i="5"/>
  <c r="I47" i="5"/>
  <c r="E49" i="5"/>
  <c r="D54" i="5"/>
  <c r="F7" i="2"/>
  <c r="H30" i="3"/>
  <c r="I11" i="3"/>
  <c r="E72" i="5"/>
  <c r="F67" i="5"/>
  <c r="L29" i="3"/>
  <c r="L26" i="3"/>
  <c r="E298" i="5"/>
  <c r="F294" i="5"/>
  <c r="F298" i="5"/>
  <c r="L35" i="3"/>
  <c r="B30" i="8"/>
  <c r="C112" i="4"/>
  <c r="C113" i="4"/>
  <c r="F21" i="3"/>
  <c r="F222" i="5"/>
  <c r="F235" i="5"/>
  <c r="F243" i="5"/>
  <c r="G27" i="3"/>
  <c r="C9" i="8"/>
  <c r="C11" i="8"/>
  <c r="C13" i="8"/>
  <c r="C26" i="8"/>
  <c r="B38" i="3"/>
  <c r="G200" i="5"/>
  <c r="G206" i="5"/>
  <c r="D110" i="5"/>
  <c r="F13" i="2"/>
  <c r="F14" i="2"/>
  <c r="E107" i="5"/>
  <c r="E108" i="5"/>
  <c r="E29" i="5"/>
  <c r="D34" i="5"/>
  <c r="F6" i="2"/>
  <c r="F9" i="2"/>
  <c r="I34" i="6"/>
  <c r="I9" i="3"/>
  <c r="I24" i="3"/>
  <c r="I10" i="6"/>
  <c r="I13" i="6"/>
  <c r="I16" i="6"/>
  <c r="I19" i="3"/>
  <c r="I28" i="6"/>
  <c r="I12" i="6"/>
  <c r="I15" i="6"/>
  <c r="I32" i="6"/>
  <c r="I14" i="6"/>
  <c r="I17" i="6"/>
  <c r="I20" i="3"/>
  <c r="I8" i="6"/>
  <c r="I21" i="6"/>
  <c r="I201" i="5"/>
  <c r="J205" i="5"/>
  <c r="J22" i="3"/>
  <c r="I9" i="6"/>
  <c r="I25" i="3"/>
  <c r="I18" i="6"/>
  <c r="I31" i="6"/>
  <c r="I36" i="6"/>
  <c r="I11" i="6"/>
  <c r="I35" i="6"/>
  <c r="I17" i="3"/>
  <c r="I26" i="6"/>
  <c r="I39" i="6"/>
  <c r="I202" i="5"/>
  <c r="J192" i="5"/>
  <c r="I27" i="6"/>
  <c r="I30" i="6"/>
  <c r="I33" i="6"/>
  <c r="I18" i="3"/>
  <c r="I10" i="3"/>
  <c r="I29" i="6"/>
  <c r="B31" i="8"/>
  <c r="C27" i="8"/>
  <c r="C29" i="8"/>
  <c r="C30" i="8"/>
  <c r="C31" i="8"/>
  <c r="D27" i="8"/>
  <c r="C24" i="1"/>
  <c r="C25" i="1"/>
  <c r="D310" i="5"/>
  <c r="D16" i="3"/>
  <c r="D31" i="3"/>
  <c r="D33" i="3"/>
  <c r="D308" i="5"/>
  <c r="E89" i="5"/>
  <c r="E90" i="5"/>
  <c r="M26" i="3"/>
  <c r="M29" i="3"/>
  <c r="N29" i="3"/>
  <c r="E23" i="8"/>
  <c r="F69" i="5"/>
  <c r="F70" i="5"/>
  <c r="I30" i="3"/>
  <c r="E51" i="5"/>
  <c r="J44" i="5"/>
  <c r="J47" i="5"/>
  <c r="H257" i="5"/>
  <c r="H270" i="5"/>
  <c r="H278" i="5"/>
  <c r="K82" i="5"/>
  <c r="K85" i="5"/>
  <c r="J11" i="3"/>
  <c r="C34" i="3"/>
  <c r="G21" i="3"/>
  <c r="G294" i="5"/>
  <c r="G298" i="5"/>
  <c r="G222" i="5"/>
  <c r="G235" i="5"/>
  <c r="G243" i="5"/>
  <c r="H200" i="5"/>
  <c r="H206" i="5"/>
  <c r="F19" i="2"/>
  <c r="F105" i="5"/>
  <c r="F107" i="5"/>
  <c r="F108" i="5"/>
  <c r="E110" i="5"/>
  <c r="J32" i="6"/>
  <c r="J16" i="6"/>
  <c r="J36" i="6"/>
  <c r="J33" i="6"/>
  <c r="J11" i="6"/>
  <c r="J27" i="6"/>
  <c r="J20" i="3"/>
  <c r="J17" i="3"/>
  <c r="J17" i="6"/>
  <c r="J8" i="6"/>
  <c r="J21" i="6"/>
  <c r="J201" i="5"/>
  <c r="K205" i="5"/>
  <c r="K22" i="3"/>
  <c r="J15" i="6"/>
  <c r="J28" i="6"/>
  <c r="J29" i="6"/>
  <c r="J26" i="6"/>
  <c r="J39" i="6"/>
  <c r="J202" i="5"/>
  <c r="J31" i="6"/>
  <c r="J9" i="3"/>
  <c r="J10" i="3"/>
  <c r="J34" i="6"/>
  <c r="J35" i="6"/>
  <c r="J24" i="3"/>
  <c r="J18" i="6"/>
  <c r="J30" i="6"/>
  <c r="J9" i="6"/>
  <c r="K192" i="5"/>
  <c r="J19" i="3"/>
  <c r="J10" i="6"/>
  <c r="J13" i="6"/>
  <c r="J18" i="3"/>
  <c r="J25" i="3"/>
  <c r="J14" i="6"/>
  <c r="J12" i="6"/>
  <c r="E31" i="5"/>
  <c r="E32" i="5"/>
  <c r="D57" i="2"/>
  <c r="D26" i="2"/>
  <c r="D28" i="2"/>
  <c r="D30" i="2"/>
  <c r="D32" i="2"/>
  <c r="E304" i="5"/>
  <c r="F62" i="2"/>
  <c r="D8" i="8"/>
  <c r="D9" i="8"/>
  <c r="D11" i="8"/>
  <c r="D13" i="8"/>
  <c r="D26" i="8"/>
  <c r="D29" i="8"/>
  <c r="D30" i="8"/>
  <c r="E92" i="5"/>
  <c r="F87" i="5"/>
  <c r="C27" i="1"/>
  <c r="D59" i="2"/>
  <c r="H27" i="3"/>
  <c r="I257" i="5"/>
  <c r="I270" i="5"/>
  <c r="I278" i="5"/>
  <c r="K44" i="5"/>
  <c r="K47" i="5"/>
  <c r="L82" i="5"/>
  <c r="L85" i="5"/>
  <c r="F28" i="1"/>
  <c r="J30" i="3"/>
  <c r="F72" i="5"/>
  <c r="G67" i="5"/>
  <c r="E18" i="8"/>
  <c r="E19" i="8"/>
  <c r="E52" i="5"/>
  <c r="H297" i="5"/>
  <c r="H294" i="5"/>
  <c r="C36" i="3"/>
  <c r="C37" i="3"/>
  <c r="E112" i="4"/>
  <c r="E113" i="4"/>
  <c r="D24" i="1"/>
  <c r="D25" i="1"/>
  <c r="H222" i="5"/>
  <c r="H235" i="5"/>
  <c r="H243" i="5"/>
  <c r="I200" i="5"/>
  <c r="I206" i="5"/>
  <c r="D67" i="2"/>
  <c r="D69" i="2"/>
  <c r="F110" i="5"/>
  <c r="G105" i="5"/>
  <c r="E34" i="5"/>
  <c r="F29" i="5"/>
  <c r="K36" i="6"/>
  <c r="K31" i="6"/>
  <c r="L192" i="5"/>
  <c r="K17" i="3"/>
  <c r="K20" i="3"/>
  <c r="K35" i="6"/>
  <c r="K18" i="3"/>
  <c r="K10" i="3"/>
  <c r="K9" i="3"/>
  <c r="K11" i="3"/>
  <c r="K24" i="3"/>
  <c r="K25" i="3"/>
  <c r="K9" i="6"/>
  <c r="K19" i="3"/>
  <c r="K11" i="6"/>
  <c r="K10" i="6"/>
  <c r="K15" i="6"/>
  <c r="K32" i="6"/>
  <c r="K34" i="6"/>
  <c r="K33" i="6"/>
  <c r="K14" i="6"/>
  <c r="K8" i="6"/>
  <c r="K21" i="6"/>
  <c r="K201" i="5"/>
  <c r="L205" i="5"/>
  <c r="L22" i="3"/>
  <c r="K16" i="6"/>
  <c r="K13" i="6"/>
  <c r="K17" i="6"/>
  <c r="K12" i="6"/>
  <c r="K26" i="6"/>
  <c r="K39" i="6"/>
  <c r="K202" i="5"/>
  <c r="K18" i="6"/>
  <c r="K28" i="6"/>
  <c r="K30" i="6"/>
  <c r="K29" i="6"/>
  <c r="K27" i="6"/>
  <c r="D31" i="8"/>
  <c r="E307" i="5"/>
  <c r="E306" i="5"/>
  <c r="F89" i="5"/>
  <c r="F90" i="5"/>
  <c r="C29" i="1"/>
  <c r="H298" i="5"/>
  <c r="I294" i="5"/>
  <c r="I298" i="5"/>
  <c r="D27" i="1"/>
  <c r="E59" i="2"/>
  <c r="L44" i="5"/>
  <c r="L47" i="5"/>
  <c r="J257" i="5"/>
  <c r="J270" i="5"/>
  <c r="J278" i="5"/>
  <c r="L11" i="3"/>
  <c r="F49" i="5"/>
  <c r="E54" i="5"/>
  <c r="G69" i="5"/>
  <c r="K30" i="3"/>
  <c r="M82" i="5"/>
  <c r="M85" i="5"/>
  <c r="N28" i="6"/>
  <c r="H110" i="4"/>
  <c r="I222" i="5"/>
  <c r="I235" i="5"/>
  <c r="I243" i="5"/>
  <c r="H21" i="3"/>
  <c r="C38" i="3"/>
  <c r="I27" i="3"/>
  <c r="J200" i="5"/>
  <c r="J206" i="5"/>
  <c r="G107" i="5"/>
  <c r="G108" i="5"/>
  <c r="F31" i="5"/>
  <c r="F32" i="5"/>
  <c r="L9" i="3"/>
  <c r="L8" i="6"/>
  <c r="L21" i="6"/>
  <c r="L201" i="5"/>
  <c r="M205" i="5"/>
  <c r="M22" i="3"/>
  <c r="N22" i="3"/>
  <c r="L25" i="3"/>
  <c r="L12" i="6"/>
  <c r="L9" i="6"/>
  <c r="L16" i="6"/>
  <c r="L11" i="6"/>
  <c r="L27" i="6"/>
  <c r="L13" i="6"/>
  <c r="L29" i="6"/>
  <c r="L15" i="6"/>
  <c r="L35" i="6"/>
  <c r="L17" i="6"/>
  <c r="M192" i="5"/>
  <c r="L26" i="6"/>
  <c r="L39" i="6"/>
  <c r="L202" i="5"/>
  <c r="L28" i="6"/>
  <c r="L14" i="6"/>
  <c r="L18" i="6"/>
  <c r="L31" i="6"/>
  <c r="L33" i="6"/>
  <c r="L30" i="6"/>
  <c r="L32" i="6"/>
  <c r="L34" i="6"/>
  <c r="L36" i="6"/>
  <c r="L10" i="3"/>
  <c r="L10" i="6"/>
  <c r="L17" i="3"/>
  <c r="L18" i="3"/>
  <c r="L19" i="3"/>
  <c r="L20" i="3"/>
  <c r="L24" i="3"/>
  <c r="E310" i="5"/>
  <c r="E16" i="3"/>
  <c r="E31" i="3"/>
  <c r="E33" i="3"/>
  <c r="E308" i="5"/>
  <c r="F304" i="5"/>
  <c r="F306" i="5"/>
  <c r="F92" i="5"/>
  <c r="G87" i="5"/>
  <c r="D43" i="2"/>
  <c r="E41" i="2"/>
  <c r="D29" i="1"/>
  <c r="M30" i="3"/>
  <c r="L30" i="3"/>
  <c r="N26" i="6"/>
  <c r="N39" i="6"/>
  <c r="F51" i="5"/>
  <c r="K257" i="5"/>
  <c r="K270" i="5"/>
  <c r="K278" i="5"/>
  <c r="M44" i="5"/>
  <c r="M47" i="5"/>
  <c r="G70" i="5"/>
  <c r="M11" i="3"/>
  <c r="N11" i="3"/>
  <c r="N9" i="3"/>
  <c r="N8" i="6"/>
  <c r="N21" i="6"/>
  <c r="I21" i="3"/>
  <c r="E26" i="2"/>
  <c r="E28" i="2"/>
  <c r="E30" i="2"/>
  <c r="E32" i="2"/>
  <c r="D34" i="3"/>
  <c r="E57" i="2"/>
  <c r="E67" i="2"/>
  <c r="E69" i="2"/>
  <c r="J222" i="5"/>
  <c r="J235" i="5"/>
  <c r="J243" i="5"/>
  <c r="J27" i="3"/>
  <c r="J294" i="5"/>
  <c r="J298" i="5"/>
  <c r="K200" i="5"/>
  <c r="K206" i="5"/>
  <c r="F307" i="5"/>
  <c r="F310" i="5"/>
  <c r="F16" i="3"/>
  <c r="F31" i="3"/>
  <c r="F33" i="3"/>
  <c r="G110" i="5"/>
  <c r="H105" i="5"/>
  <c r="F34" i="5"/>
  <c r="G29" i="5"/>
  <c r="M13" i="6"/>
  <c r="N13" i="6"/>
  <c r="M18" i="3"/>
  <c r="N18" i="3"/>
  <c r="M33" i="6"/>
  <c r="N33" i="6"/>
  <c r="M16" i="6"/>
  <c r="N16" i="6"/>
  <c r="M28" i="6"/>
  <c r="M35" i="6"/>
  <c r="N35" i="6"/>
  <c r="M25" i="3"/>
  <c r="N25" i="3"/>
  <c r="M9" i="6"/>
  <c r="N9" i="6"/>
  <c r="M19" i="3"/>
  <c r="N19" i="3"/>
  <c r="M8" i="6"/>
  <c r="M21" i="6"/>
  <c r="M201" i="5"/>
  <c r="M29" i="6"/>
  <c r="N29" i="6"/>
  <c r="M17" i="6"/>
  <c r="N17" i="6"/>
  <c r="M10" i="3"/>
  <c r="N10" i="3"/>
  <c r="M11" i="6"/>
  <c r="N11" i="6"/>
  <c r="M31" i="6"/>
  <c r="N31" i="6"/>
  <c r="M36" i="6"/>
  <c r="N36" i="6"/>
  <c r="M24" i="3"/>
  <c r="N24" i="3"/>
  <c r="M15" i="6"/>
  <c r="N15" i="6"/>
  <c r="M12" i="6"/>
  <c r="N12" i="6"/>
  <c r="M17" i="3"/>
  <c r="N17" i="3"/>
  <c r="M34" i="6"/>
  <c r="N34" i="6"/>
  <c r="M32" i="6"/>
  <c r="N32" i="6"/>
  <c r="M10" i="6"/>
  <c r="N10" i="6"/>
  <c r="M26" i="6"/>
  <c r="M39" i="6"/>
  <c r="M202" i="5"/>
  <c r="M30" i="6"/>
  <c r="N30" i="6"/>
  <c r="M20" i="3"/>
  <c r="N20" i="3"/>
  <c r="M14" i="6"/>
  <c r="N14" i="6"/>
  <c r="M27" i="6"/>
  <c r="N27" i="6"/>
  <c r="M18" i="6"/>
  <c r="N18" i="6"/>
  <c r="M9" i="3"/>
  <c r="G89" i="5"/>
  <c r="G90" i="5"/>
  <c r="F308" i="5"/>
  <c r="G304" i="5"/>
  <c r="D45" i="2"/>
  <c r="D71" i="2"/>
  <c r="D75" i="2"/>
  <c r="E43" i="2"/>
  <c r="E45" i="2"/>
  <c r="F41" i="2"/>
  <c r="H67" i="5"/>
  <c r="G72" i="5"/>
  <c r="L257" i="5"/>
  <c r="L270" i="5"/>
  <c r="L278" i="5"/>
  <c r="F52" i="5"/>
  <c r="N30" i="3"/>
  <c r="K27" i="3"/>
  <c r="K294" i="5"/>
  <c r="K297" i="5"/>
  <c r="J21" i="3"/>
  <c r="K222" i="5"/>
  <c r="K235" i="5"/>
  <c r="K243" i="5"/>
  <c r="D36" i="3"/>
  <c r="H106" i="4"/>
  <c r="L200" i="5"/>
  <c r="L206" i="5"/>
  <c r="H107" i="5"/>
  <c r="H108" i="5"/>
  <c r="G31" i="5"/>
  <c r="G32" i="5"/>
  <c r="G92" i="5"/>
  <c r="H87" i="5"/>
  <c r="H89" i="5"/>
  <c r="E71" i="2"/>
  <c r="E75" i="2"/>
  <c r="G49" i="5"/>
  <c r="F54" i="5"/>
  <c r="H69" i="5"/>
  <c r="M257" i="5"/>
  <c r="M270" i="5"/>
  <c r="M278" i="5"/>
  <c r="H109" i="4"/>
  <c r="H108" i="4"/>
  <c r="G307" i="5"/>
  <c r="G310" i="5"/>
  <c r="G16" i="3"/>
  <c r="G31" i="3"/>
  <c r="G306" i="5"/>
  <c r="L222" i="5"/>
  <c r="L235" i="5"/>
  <c r="L243" i="5"/>
  <c r="L27" i="3"/>
  <c r="K21" i="3"/>
  <c r="D37" i="3"/>
  <c r="G112" i="4"/>
  <c r="G113" i="4"/>
  <c r="E24" i="1"/>
  <c r="E25" i="1"/>
  <c r="K298" i="5"/>
  <c r="M200" i="5"/>
  <c r="M206" i="5"/>
  <c r="I105" i="5"/>
  <c r="I107" i="5"/>
  <c r="I108" i="5"/>
  <c r="H110" i="5"/>
  <c r="H90" i="5"/>
  <c r="H92" i="5"/>
  <c r="G34" i="5"/>
  <c r="H29" i="5"/>
  <c r="G308" i="5"/>
  <c r="H304" i="5"/>
  <c r="G51" i="5"/>
  <c r="H70" i="5"/>
  <c r="G33" i="3"/>
  <c r="L294" i="5"/>
  <c r="L298" i="5"/>
  <c r="E27" i="1"/>
  <c r="F59" i="2"/>
  <c r="M222" i="5"/>
  <c r="M235" i="5"/>
  <c r="M243" i="5"/>
  <c r="L21" i="3"/>
  <c r="D38" i="3"/>
  <c r="I87" i="5"/>
  <c r="H31" i="5"/>
  <c r="H32" i="5"/>
  <c r="I67" i="5"/>
  <c r="H72" i="5"/>
  <c r="I89" i="5"/>
  <c r="G52" i="5"/>
  <c r="J105" i="5"/>
  <c r="I110" i="5"/>
  <c r="E29" i="1"/>
  <c r="F26" i="2"/>
  <c r="F28" i="2"/>
  <c r="F30" i="2"/>
  <c r="F32" i="2"/>
  <c r="E34" i="3"/>
  <c r="F57" i="2"/>
  <c r="F67" i="2"/>
  <c r="F69" i="2"/>
  <c r="H307" i="5"/>
  <c r="H310" i="5"/>
  <c r="H16" i="3"/>
  <c r="H31" i="3"/>
  <c r="H306" i="5"/>
  <c r="H107" i="4"/>
  <c r="H111" i="4"/>
  <c r="M27" i="3"/>
  <c r="N27" i="3"/>
  <c r="M294" i="5"/>
  <c r="M298" i="5"/>
  <c r="H34" i="5"/>
  <c r="I29" i="5"/>
  <c r="F43" i="2"/>
  <c r="F45" i="2"/>
  <c r="F71" i="2"/>
  <c r="F75" i="2"/>
  <c r="H308" i="5"/>
  <c r="I304" i="5"/>
  <c r="J107" i="5"/>
  <c r="I69" i="5"/>
  <c r="I90" i="5"/>
  <c r="H49" i="5"/>
  <c r="G54" i="5"/>
  <c r="M21" i="3"/>
  <c r="N21" i="3"/>
  <c r="E10" i="8"/>
  <c r="A10" i="8"/>
  <c r="E21" i="8"/>
  <c r="E24" i="8"/>
  <c r="E7" i="8"/>
  <c r="H33" i="3"/>
  <c r="E36" i="3"/>
  <c r="I31" i="5"/>
  <c r="I32" i="5"/>
  <c r="J87" i="5"/>
  <c r="I92" i="5"/>
  <c r="I70" i="5"/>
  <c r="J108" i="5"/>
  <c r="H51" i="5"/>
  <c r="I306" i="5"/>
  <c r="I307" i="5"/>
  <c r="I310" i="5"/>
  <c r="I16" i="3"/>
  <c r="I31" i="3"/>
  <c r="I33" i="3"/>
  <c r="E37" i="3"/>
  <c r="J29" i="5"/>
  <c r="J31" i="5"/>
  <c r="J32" i="5"/>
  <c r="I34" i="5"/>
  <c r="J67" i="5"/>
  <c r="I72" i="5"/>
  <c r="J89" i="5"/>
  <c r="H52" i="5"/>
  <c r="K105" i="5"/>
  <c r="J110" i="5"/>
  <c r="E38" i="3"/>
  <c r="I308" i="5"/>
  <c r="K29" i="5"/>
  <c r="J34" i="5"/>
  <c r="K107" i="5"/>
  <c r="I49" i="5"/>
  <c r="H54" i="5"/>
  <c r="J69" i="5"/>
  <c r="J90" i="5"/>
  <c r="F34" i="3"/>
  <c r="F36" i="3"/>
  <c r="J304" i="5"/>
  <c r="I51" i="5"/>
  <c r="K31" i="5"/>
  <c r="J70" i="5"/>
  <c r="K108" i="5"/>
  <c r="K87" i="5"/>
  <c r="J92" i="5"/>
  <c r="J306" i="5"/>
  <c r="J307" i="5"/>
  <c r="J310" i="5"/>
  <c r="J16" i="3"/>
  <c r="J31" i="3"/>
  <c r="J33" i="3"/>
  <c r="F37" i="3"/>
  <c r="K89" i="5"/>
  <c r="K67" i="5"/>
  <c r="J72" i="5"/>
  <c r="K32" i="5"/>
  <c r="I52" i="5"/>
  <c r="L105" i="5"/>
  <c r="K110" i="5"/>
  <c r="F38" i="3"/>
  <c r="J308" i="5"/>
  <c r="L107" i="5"/>
  <c r="L29" i="5"/>
  <c r="K34" i="5"/>
  <c r="K69" i="5"/>
  <c r="K90" i="5"/>
  <c r="J49" i="5"/>
  <c r="I54" i="5"/>
  <c r="G34" i="3"/>
  <c r="K304" i="5"/>
  <c r="L87" i="5"/>
  <c r="K92" i="5"/>
  <c r="L31" i="5"/>
  <c r="K70" i="5"/>
  <c r="L108" i="5"/>
  <c r="J51" i="5"/>
  <c r="K306" i="5"/>
  <c r="K307" i="5"/>
  <c r="K310" i="5"/>
  <c r="K16" i="3"/>
  <c r="K31" i="3"/>
  <c r="K33" i="3"/>
  <c r="G36" i="3"/>
  <c r="L67" i="5"/>
  <c r="K72" i="5"/>
  <c r="L89" i="5"/>
  <c r="J52" i="5"/>
  <c r="L32" i="5"/>
  <c r="M105" i="5"/>
  <c r="L110" i="5"/>
  <c r="G37" i="3"/>
  <c r="K308" i="5"/>
  <c r="M107" i="5"/>
  <c r="H93" i="4"/>
  <c r="K49" i="5"/>
  <c r="J54" i="5"/>
  <c r="L69" i="5"/>
  <c r="L90" i="5"/>
  <c r="M29" i="5"/>
  <c r="L34" i="5"/>
  <c r="L304" i="5"/>
  <c r="G38" i="3"/>
  <c r="M31" i="5"/>
  <c r="M87" i="5"/>
  <c r="L92" i="5"/>
  <c r="K51" i="5"/>
  <c r="L70" i="5"/>
  <c r="M108" i="5"/>
  <c r="M110" i="5"/>
  <c r="H34" i="3"/>
  <c r="L306" i="5"/>
  <c r="L307" i="5"/>
  <c r="L310" i="5"/>
  <c r="L16" i="3"/>
  <c r="L31" i="3"/>
  <c r="L33" i="3"/>
  <c r="M89" i="5"/>
  <c r="H92" i="4"/>
  <c r="L308" i="5"/>
  <c r="M304" i="5"/>
  <c r="K52" i="5"/>
  <c r="M32" i="5"/>
  <c r="M34" i="5"/>
  <c r="M67" i="5"/>
  <c r="L72" i="5"/>
  <c r="H89" i="4"/>
  <c r="H36" i="3"/>
  <c r="H37" i="3"/>
  <c r="M90" i="5"/>
  <c r="M92" i="5"/>
  <c r="M69" i="5"/>
  <c r="H91" i="4"/>
  <c r="L49" i="5"/>
  <c r="K54" i="5"/>
  <c r="M307" i="5"/>
  <c r="M310" i="5"/>
  <c r="M16" i="3"/>
  <c r="M306" i="5"/>
  <c r="H38" i="3"/>
  <c r="L51" i="5"/>
  <c r="M70" i="5"/>
  <c r="M72" i="5"/>
  <c r="M31" i="3"/>
  <c r="N16" i="3"/>
  <c r="N31" i="3"/>
  <c r="N33" i="3"/>
  <c r="I34" i="3"/>
  <c r="I36" i="3"/>
  <c r="M308" i="5"/>
  <c r="L52" i="5"/>
  <c r="E8" i="8"/>
  <c r="E9" i="8"/>
  <c r="E11" i="8"/>
  <c r="E13" i="8"/>
  <c r="E26" i="8"/>
  <c r="I37" i="3"/>
  <c r="M33" i="3"/>
  <c r="M49" i="5"/>
  <c r="L54" i="5"/>
  <c r="I38" i="3"/>
  <c r="M51" i="5"/>
  <c r="J34" i="3"/>
  <c r="J36" i="3"/>
  <c r="M52" i="5"/>
  <c r="M54" i="5"/>
  <c r="H90" i="4"/>
  <c r="H96" i="4"/>
  <c r="J37" i="3"/>
  <c r="F20" i="1"/>
  <c r="J38" i="3"/>
  <c r="F21" i="1"/>
  <c r="K34" i="3"/>
  <c r="K36" i="3"/>
  <c r="K37" i="3"/>
  <c r="K38" i="3"/>
  <c r="L34" i="3"/>
  <c r="L36" i="3"/>
  <c r="L37" i="3"/>
  <c r="L38" i="3"/>
  <c r="M34" i="3"/>
  <c r="M36" i="3"/>
  <c r="M37" i="3"/>
  <c r="M38" i="3"/>
  <c r="H112" i="4"/>
  <c r="H113" i="4"/>
  <c r="F24" i="1"/>
  <c r="F25" i="1"/>
  <c r="F27" i="1"/>
  <c r="F29" i="1"/>
  <c r="D76" i="2"/>
</calcChain>
</file>

<file path=xl/sharedStrings.xml><?xml version="1.0" encoding="utf-8"?>
<sst xmlns="http://schemas.openxmlformats.org/spreadsheetml/2006/main" count="494" uniqueCount="325">
  <si>
    <t>Maj</t>
  </si>
  <si>
    <t>I alt</t>
  </si>
  <si>
    <t>Note</t>
  </si>
  <si>
    <t>Immaterielle anlægsaktiver</t>
  </si>
  <si>
    <t>Materielle anlægsaktiver</t>
  </si>
  <si>
    <t>ANLÆGSAKTIVER</t>
  </si>
  <si>
    <t>Tilgodehavender fra salg</t>
  </si>
  <si>
    <t>Andre tilgodehavender</t>
  </si>
  <si>
    <t>Tilgodehavender</t>
  </si>
  <si>
    <t>Likvide beholdninger</t>
  </si>
  <si>
    <t>OMSÆTNINGSAKTIVER</t>
  </si>
  <si>
    <t>AKTIVER</t>
  </si>
  <si>
    <t>Afsat udbytte</t>
  </si>
  <si>
    <t>EGENKAPITAL</t>
  </si>
  <si>
    <t>HENSÆTTELSER</t>
  </si>
  <si>
    <t>Langfristet gæld</t>
  </si>
  <si>
    <t>Driftskredit</t>
  </si>
  <si>
    <t>Selskabsskat</t>
  </si>
  <si>
    <t>Skyldig moms</t>
  </si>
  <si>
    <t>Ber. feriepenge funktionærer</t>
  </si>
  <si>
    <t>Skyldig udbytte</t>
  </si>
  <si>
    <t>Kortfristet gæld</t>
  </si>
  <si>
    <t>GÆLD</t>
  </si>
  <si>
    <t>PASSIVER</t>
  </si>
  <si>
    <t>Difference aktiver - passiver</t>
  </si>
  <si>
    <t>Salgsomkostninger</t>
  </si>
  <si>
    <t>Lokaleomkostninger</t>
  </si>
  <si>
    <t>Administrationsomkostninger</t>
  </si>
  <si>
    <t>Småanskaffelser</t>
  </si>
  <si>
    <t>Debitorer primo</t>
  </si>
  <si>
    <t>Moms</t>
  </si>
  <si>
    <t>Skyldig moms primo</t>
  </si>
  <si>
    <t>Skyldig moms ultimo</t>
  </si>
  <si>
    <t>Løbetid: 5 år</t>
  </si>
  <si>
    <t>Feriepenge</t>
  </si>
  <si>
    <t>ATP refusion</t>
  </si>
  <si>
    <t>AER bidrag</t>
  </si>
  <si>
    <t>Personaleudgifter</t>
  </si>
  <si>
    <t>Lønrefusion</t>
  </si>
  <si>
    <t>Vægtafgift og forsikringer</t>
  </si>
  <si>
    <t>Overkurs ved emission</t>
  </si>
  <si>
    <t>Leverandører af varer og tjenesteyd.</t>
  </si>
  <si>
    <t>Betalt udbytte</t>
  </si>
  <si>
    <t>Kassekredit primo</t>
  </si>
  <si>
    <t>Værdipapirer</t>
  </si>
  <si>
    <t>Finansielle anlægsaktiver</t>
  </si>
  <si>
    <t>Ændring likvide beholdninger</t>
  </si>
  <si>
    <t>Renteudgifter</t>
  </si>
  <si>
    <t>Primo</t>
  </si>
  <si>
    <t>Salgsmoms</t>
  </si>
  <si>
    <t>Købsmoms</t>
  </si>
  <si>
    <t>FORUDSÆTNINGER</t>
  </si>
  <si>
    <t>RESULTATBUDGET 20X3</t>
  </si>
  <si>
    <t>INDTJENINGSBIDRAG</t>
  </si>
  <si>
    <t>DRIFTSRESULTAT</t>
  </si>
  <si>
    <t>RESULTAT FØR SKAT</t>
  </si>
  <si>
    <t>RESULTAT</t>
  </si>
  <si>
    <t>KASSEKREDIT ULTIMO</t>
  </si>
  <si>
    <t>S</t>
  </si>
  <si>
    <t>K</t>
  </si>
  <si>
    <t>Lagerregulering</t>
  </si>
  <si>
    <t>BRUTTORESULTAT</t>
  </si>
  <si>
    <t>Lønninger</t>
  </si>
  <si>
    <t>ATP</t>
  </si>
  <si>
    <t>Pensionsbidrag</t>
  </si>
  <si>
    <t>DÆKNINGSBIDRAG</t>
  </si>
  <si>
    <t>Repræsentation</t>
  </si>
  <si>
    <t>Rejser og kurser</t>
  </si>
  <si>
    <t>Dekoration</t>
  </si>
  <si>
    <t>Reparationer</t>
  </si>
  <si>
    <t>Autodrift</t>
  </si>
  <si>
    <t>Benzin og olie</t>
  </si>
  <si>
    <t>Kontorhold</t>
  </si>
  <si>
    <t>Telefon</t>
  </si>
  <si>
    <t>Tab på debitorer</t>
  </si>
  <si>
    <t>Afskrivninger</t>
  </si>
  <si>
    <t>Goodwill</t>
  </si>
  <si>
    <t>Grunde og bygninger</t>
  </si>
  <si>
    <t>Tekniske anlæg</t>
  </si>
  <si>
    <t>Inventar</t>
  </si>
  <si>
    <t>Ydelse</t>
  </si>
  <si>
    <t>Rentesats p.a.</t>
  </si>
  <si>
    <t>Rentesats p.a., indestående</t>
  </si>
  <si>
    <t>Rentesats p.a., gæld</t>
  </si>
  <si>
    <t>Renteindtægter</t>
  </si>
  <si>
    <t>Renter, debitorer</t>
  </si>
  <si>
    <t>Renter, bankkonti</t>
  </si>
  <si>
    <t>Modtagne kontantrabatter</t>
  </si>
  <si>
    <t>Renter, leverandører</t>
  </si>
  <si>
    <t>Renter, kassekredit</t>
  </si>
  <si>
    <t>Renteudgifter ex. kassekredit</t>
  </si>
  <si>
    <t>Skat</t>
  </si>
  <si>
    <t>Depositum</t>
  </si>
  <si>
    <t>Indretning lejede lokaler</t>
  </si>
  <si>
    <t>Anskaffelsessum primo</t>
  </si>
  <si>
    <t>Tilgang</t>
  </si>
  <si>
    <t>Afgang</t>
  </si>
  <si>
    <t>Bogført værdi ultimo</t>
  </si>
  <si>
    <t>Periodens afskrivninger</t>
  </si>
  <si>
    <t>Afskrivninger primo</t>
  </si>
  <si>
    <t>Afskrivninger ultimo</t>
  </si>
  <si>
    <t>Anskaffelsessum ultimo</t>
  </si>
  <si>
    <t>Afskrivningssats</t>
  </si>
  <si>
    <t>Afskrivninger solgte aktiver</t>
  </si>
  <si>
    <t>ANLÆGSAKTIVER OG AFSKRIVNINGER:</t>
  </si>
  <si>
    <t>ANLÆGSAKTIVER OG AFSKRIVNINGER, fortsat:</t>
  </si>
  <si>
    <t>Tast primotallene for anlægsaktiver ind her!</t>
  </si>
  <si>
    <t>KASSEKREDIT:</t>
  </si>
  <si>
    <t>SELSKABSSKAT:</t>
  </si>
  <si>
    <t>DEBITORER:</t>
  </si>
  <si>
    <t>MOMSSATS:</t>
  </si>
  <si>
    <t>dage</t>
  </si>
  <si>
    <t>Afvikling af debitorer primo</t>
  </si>
  <si>
    <t xml:space="preserve">Kredittider: </t>
  </si>
  <si>
    <t>KREDITORER:</t>
  </si>
  <si>
    <t>Kreditorer primo</t>
  </si>
  <si>
    <t>Debitorer ultimo</t>
  </si>
  <si>
    <t>Kreditorer ultimo</t>
  </si>
  <si>
    <t>Afvikling af kreditorer primo</t>
  </si>
  <si>
    <t>I ALT</t>
  </si>
  <si>
    <t>Salgsmoms:</t>
  </si>
  <si>
    <t>MOMS:</t>
  </si>
  <si>
    <t>Sæt x:</t>
  </si>
  <si>
    <t>Kvartalsafregning</t>
  </si>
  <si>
    <t>Halvårsafregning</t>
  </si>
  <si>
    <t>Månedsafregning</t>
  </si>
  <si>
    <t>Betaling</t>
  </si>
  <si>
    <t>x</t>
  </si>
  <si>
    <t>Afvikling af moms primo</t>
  </si>
  <si>
    <t>Renter</t>
  </si>
  <si>
    <t>Leasing personbiler</t>
  </si>
  <si>
    <t>Leasing varebiler</t>
  </si>
  <si>
    <t>Service</t>
  </si>
  <si>
    <t>Diverse</t>
  </si>
  <si>
    <t>Varelager</t>
  </si>
  <si>
    <t>Kassekredit før renteberegning</t>
  </si>
  <si>
    <t>Skyldige feriepenge primo</t>
  </si>
  <si>
    <t>Skyldige feriepenge ultimo</t>
  </si>
  <si>
    <t>Skyldig A-skat, AM- og SP-bidrag</t>
  </si>
  <si>
    <t>Skyldige feriepenge</t>
  </si>
  <si>
    <t>A-skat, AM- og SP-bidrag:</t>
  </si>
  <si>
    <t>A-SKAT, AM- OG SP-BIDRAG:</t>
  </si>
  <si>
    <t>A-skat, AM-og SP-bidrag heraf</t>
  </si>
  <si>
    <t>AM-indkomst excl. feriepenge</t>
  </si>
  <si>
    <t>A-skat, AM-og SP-bidrag</t>
  </si>
  <si>
    <t>Feriepenge:</t>
  </si>
  <si>
    <t>Lønninger:</t>
  </si>
  <si>
    <t>Skyldige A-skat m.v. primo</t>
  </si>
  <si>
    <t>Feriepenge til betaling</t>
  </si>
  <si>
    <t>A-skat m.v. til betaling</t>
  </si>
  <si>
    <t>Skyldige A-skat m.v. ultimo</t>
  </si>
  <si>
    <t>Feriepenge netto</t>
  </si>
  <si>
    <t>BETALINGER I ALT</t>
  </si>
  <si>
    <t>Afregning af A-skat m.v.</t>
  </si>
  <si>
    <t>Vælg mellem:</t>
  </si>
  <si>
    <t>Afregning i den følgende måned</t>
  </si>
  <si>
    <t>Afregning i samme måned</t>
  </si>
  <si>
    <t>INDBETALINGER</t>
  </si>
  <si>
    <t>INDBETALINGER - UDBETALINGER</t>
  </si>
  <si>
    <t>UDBETALINGER</t>
  </si>
  <si>
    <t>Salg af anlægsaktiver</t>
  </si>
  <si>
    <t>Leverandører af varer og tjenesteydelser</t>
  </si>
  <si>
    <t>Afdrag på gæld</t>
  </si>
  <si>
    <t>Investering i materielle anlægsaktiver</t>
  </si>
  <si>
    <t>Investering i immaterielle anlægsaktiver</t>
  </si>
  <si>
    <t>Betalt selskabsskat</t>
  </si>
  <si>
    <t>Købsmoms:</t>
  </si>
  <si>
    <t>LIKVIDITETSBUDGET:</t>
  </si>
  <si>
    <t>Angiv hvilket likviditetsbudget der ønskes:</t>
  </si>
  <si>
    <t>Sæt x</t>
  </si>
  <si>
    <t>Beholdningsforskydningsmodellen</t>
  </si>
  <si>
    <t>Ind- og udbetalingsmodellen</t>
  </si>
  <si>
    <t>Indtjeningsbidrag</t>
  </si>
  <si>
    <t>Ændring i tilgodehavender</t>
  </si>
  <si>
    <t>Ændring i kortfristet gæld</t>
  </si>
  <si>
    <t>Pengestrømme fra drift før renter</t>
  </si>
  <si>
    <t>Pengestrømme fra ordinær drift</t>
  </si>
  <si>
    <t>Investering værdipapirer</t>
  </si>
  <si>
    <t>Afdrag på langfristet gæld</t>
  </si>
  <si>
    <t>Provenu ved låneoptagelse</t>
  </si>
  <si>
    <t>ÆNDRING I LIKVIDITET</t>
  </si>
  <si>
    <t>Anlægsaktiver</t>
  </si>
  <si>
    <t>Afrunding</t>
  </si>
  <si>
    <t>A-skat mv. i forhold til bruttoløn</t>
  </si>
  <si>
    <t>Ændring i anden gæld og tilgodehavender</t>
  </si>
  <si>
    <t>Reg. udskudt skat</t>
  </si>
  <si>
    <t>Skyldige omkostninger</t>
  </si>
  <si>
    <t>Feriepengeforpligtelse funkt.</t>
  </si>
  <si>
    <t>Lønninger excl. feriepengeforpligtelse</t>
  </si>
  <si>
    <t>Investering i værdipapirer</t>
  </si>
  <si>
    <t>Rentetilskrivning sker hver:</t>
  </si>
  <si>
    <t>Måned</t>
  </si>
  <si>
    <t>Kvartal</t>
  </si>
  <si>
    <t>Halvår</t>
  </si>
  <si>
    <t>År</t>
  </si>
  <si>
    <t>Indbetalinger, hestesko DK</t>
  </si>
  <si>
    <t>Indbetalinger, ambolte DK</t>
  </si>
  <si>
    <t>Indbetalinger, hestesko EU</t>
  </si>
  <si>
    <t>Indbetalinger, ambolte EU</t>
  </si>
  <si>
    <t>Indbetalinger, hestesko udf. EU</t>
  </si>
  <si>
    <t>Indbetalinger, ambolte udf. EU</t>
  </si>
  <si>
    <t>Varekøb, hestesko DK</t>
  </si>
  <si>
    <t>Varekøb, hestesko EU</t>
  </si>
  <si>
    <t>Varekøb, hestesko udenfor EU</t>
  </si>
  <si>
    <t>Varekøb, ambolte DK</t>
  </si>
  <si>
    <t>Varekøb, ambolte EU</t>
  </si>
  <si>
    <t>Varekøb, ambolte udenfor EU</t>
  </si>
  <si>
    <t>Betalinger, hestesko EU</t>
  </si>
  <si>
    <t>Betalinger, ambolte EU</t>
  </si>
  <si>
    <t>Betalinger, hestesko udenf. EU</t>
  </si>
  <si>
    <t>Betalinger, ambolte udenf. EU</t>
  </si>
  <si>
    <t>Betalinger, hestesko DK</t>
  </si>
  <si>
    <t>Betalinger, ambolte DK</t>
  </si>
  <si>
    <t>Salgssum</t>
  </si>
  <si>
    <t>Tab(-)/avance(+)</t>
  </si>
  <si>
    <t>LÅN 1:</t>
  </si>
  <si>
    <t>LÅN 2:</t>
  </si>
  <si>
    <t>Tab/avance ved salg af aktiver</t>
  </si>
  <si>
    <t>LÅN 3:</t>
  </si>
  <si>
    <t>LÅN 4:</t>
  </si>
  <si>
    <t>LÅN 5:</t>
  </si>
  <si>
    <t>Lån 1</t>
  </si>
  <si>
    <t>Lån 2</t>
  </si>
  <si>
    <t>Lån 3</t>
  </si>
  <si>
    <t>Lån 4</t>
  </si>
  <si>
    <t>Lån 5</t>
  </si>
  <si>
    <t>Renter, lån 1</t>
  </si>
  <si>
    <t>Renter, lån 2</t>
  </si>
  <si>
    <t>Renter, lån 3</t>
  </si>
  <si>
    <t>Renter, lån 4</t>
  </si>
  <si>
    <t>Renter, lån 5</t>
  </si>
  <si>
    <t>Apr</t>
  </si>
  <si>
    <t>Jun</t>
  </si>
  <si>
    <t>Jul</t>
  </si>
  <si>
    <t>Aug</t>
  </si>
  <si>
    <t>Sep</t>
  </si>
  <si>
    <t>Okt</t>
  </si>
  <si>
    <t>Nov</t>
  </si>
  <si>
    <t>Dec</t>
  </si>
  <si>
    <t>Pengestrømme fra drift</t>
  </si>
  <si>
    <t>Pengestrømme fra invest</t>
  </si>
  <si>
    <t>Pengestrømme fra finans</t>
  </si>
  <si>
    <t>Indbetalinger i perioden</t>
  </si>
  <si>
    <t>Udbetalinger i perioden</t>
  </si>
  <si>
    <t>Kundenr.</t>
  </si>
  <si>
    <t>Kundenavn</t>
  </si>
  <si>
    <t>Udført af</t>
  </si>
  <si>
    <t>Indeks nr.</t>
  </si>
  <si>
    <t>Dato</t>
  </si>
  <si>
    <t>Godkendt af</t>
  </si>
  <si>
    <t>Category</t>
  </si>
  <si>
    <t>Emne / Område</t>
  </si>
  <si>
    <t>Godkendt af (SR1)</t>
  </si>
  <si>
    <t>Regnskabsår</t>
  </si>
  <si>
    <t>Godkendt af (SR2)</t>
  </si>
  <si>
    <t>##</t>
  </si>
  <si>
    <t>Name</t>
  </si>
  <si>
    <t>DisplayName</t>
  </si>
  <si>
    <t>MaxLength</t>
  </si>
  <si>
    <t>Default</t>
  </si>
  <si>
    <t>Mandatory</t>
  </si>
  <si>
    <t>Indeks</t>
  </si>
  <si>
    <t>Task</t>
  </si>
  <si>
    <t>Opgave</t>
  </si>
  <si>
    <t>Approver</t>
  </si>
  <si>
    <t>Godkendt</t>
  </si>
  <si>
    <t>Approver1</t>
  </si>
  <si>
    <t>Approver2</t>
  </si>
  <si>
    <t>Budget - Selskab handel art 12 perioder</t>
  </si>
  <si>
    <t/>
  </si>
  <si>
    <t>033131</t>
  </si>
  <si>
    <t>Ådalens Auto ApS</t>
  </si>
  <si>
    <t>KMP</t>
  </si>
  <si>
    <t>1</t>
  </si>
  <si>
    <t xml:space="preserve">RESULTATBUDGET </t>
  </si>
  <si>
    <t>LIKVIDITETSBUDGET</t>
  </si>
  <si>
    <t>BALANCE</t>
  </si>
  <si>
    <t>NOTER</t>
  </si>
  <si>
    <t>Kontingent</t>
  </si>
  <si>
    <t>Legepladser</t>
  </si>
  <si>
    <t>Vedligehold</t>
  </si>
  <si>
    <t>Grønnearealer og veje/stier</t>
  </si>
  <si>
    <t>Snerydning små stier</t>
  </si>
  <si>
    <t>Generalforsamling og bestyrelsesmøder</t>
  </si>
  <si>
    <t>Forsikring</t>
  </si>
  <si>
    <t>Egenkapital, primo</t>
  </si>
  <si>
    <t>Årets resultat</t>
  </si>
  <si>
    <t>Hjemmeside</t>
  </si>
  <si>
    <t>Græsslåning og vedligeholdelse</t>
  </si>
  <si>
    <t>Midterareal- Mannehøj</t>
  </si>
  <si>
    <t>Vedligehold stier</t>
  </si>
  <si>
    <t>Info tavler</t>
  </si>
  <si>
    <t>Bankindestående</t>
  </si>
  <si>
    <t>Kassebeholdning</t>
  </si>
  <si>
    <t>Forskønnelse området</t>
  </si>
  <si>
    <t>Skadedyrsbekæmpelse</t>
  </si>
  <si>
    <t>Annoncering</t>
  </si>
  <si>
    <t>Tilsyn legepladser</t>
  </si>
  <si>
    <t>Hensættelse til legepladser</t>
  </si>
  <si>
    <t>Etaplering, Kongehøj lomme C</t>
  </si>
  <si>
    <t>Antal grunde solgt i 2013</t>
  </si>
  <si>
    <t xml:space="preserve">Mannehøj lomme A </t>
  </si>
  <si>
    <t>Mannehøj lomme B (VVP)</t>
  </si>
  <si>
    <t>Mannehøj lomme C</t>
  </si>
  <si>
    <t xml:space="preserve">Mannehøj lomme D </t>
  </si>
  <si>
    <t>Mannehøj lomme E</t>
  </si>
  <si>
    <t xml:space="preserve">Mannehøj lomme F </t>
  </si>
  <si>
    <t>Kongehøj lomme A</t>
  </si>
  <si>
    <t>Kongehøj lomme B</t>
  </si>
  <si>
    <t>Kongehøj lomme C</t>
  </si>
  <si>
    <t>Antal grunde solgt i 2014</t>
  </si>
  <si>
    <t>Indtægt 2013</t>
  </si>
  <si>
    <t>Indtægt i 2014</t>
  </si>
  <si>
    <t>Indtægt 2015</t>
  </si>
  <si>
    <t>Indtægt 2016</t>
  </si>
  <si>
    <t>Antal grunde solgt i 2015</t>
  </si>
  <si>
    <t>Forventet balance:</t>
  </si>
  <si>
    <t>Antal grunde solgt 2016</t>
  </si>
  <si>
    <t xml:space="preserve">I alt </t>
  </si>
  <si>
    <t>Forventet forbrug</t>
  </si>
  <si>
    <t>Indkrævnings omk.</t>
  </si>
  <si>
    <t>Indtægt</t>
  </si>
  <si>
    <t>Renovering af stier</t>
  </si>
  <si>
    <t>Antal solgt grunde</t>
  </si>
  <si>
    <t>indtægt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</si>
</sst>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0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10"/>
      <name val="Times New Roman"/>
      <family val="1"/>
    </font>
    <font>
      <sz val="11"/>
      <color indexed="56"/>
      <name val="Times New Roman"/>
      <family val="1"/>
    </font>
    <font>
      <sz val="12"/>
      <color indexed="56"/>
      <name val="Times New Roman"/>
      <family val="1"/>
    </font>
    <font>
      <sz val="11"/>
      <color indexed="12"/>
      <name val="Times New Roman"/>
      <family val="1"/>
    </font>
    <font>
      <b/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70C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245">
    <xf numFmtId="0" fontId="0" fillId="0" borderId="0" xfId="0"/>
    <xf numFmtId="1" fontId="7" fillId="0" borderId="0" xfId="1" applyNumberFormat="1" applyFont="1"/>
    <xf numFmtId="1" fontId="7" fillId="0" borderId="0" xfId="1" applyNumberFormat="1" applyFont="1" applyAlignment="1">
      <alignment horizontal="right"/>
    </xf>
    <xf numFmtId="1" fontId="8" fillId="0" borderId="0" xfId="1" applyNumberFormat="1" applyFont="1"/>
    <xf numFmtId="1" fontId="5" fillId="0" borderId="0" xfId="1" applyNumberFormat="1" applyFont="1" applyAlignment="1">
      <alignment horizontal="right"/>
    </xf>
    <xf numFmtId="1" fontId="9" fillId="0" borderId="0" xfId="1" applyNumberFormat="1" applyFont="1" applyAlignment="1">
      <alignment horizontal="right"/>
    </xf>
    <xf numFmtId="1" fontId="10" fillId="0" borderId="0" xfId="1" applyNumberFormat="1" applyFont="1"/>
    <xf numFmtId="1" fontId="6" fillId="0" borderId="0" xfId="1" applyNumberFormat="1" applyFont="1"/>
    <xf numFmtId="1" fontId="11" fillId="0" borderId="0" xfId="1" applyNumberFormat="1" applyFont="1"/>
    <xf numFmtId="1" fontId="7" fillId="0" borderId="0" xfId="1" applyNumberFormat="1" applyFont="1" applyProtection="1"/>
    <xf numFmtId="1" fontId="5" fillId="0" borderId="0" xfId="1" applyNumberFormat="1" applyFont="1"/>
    <xf numFmtId="1" fontId="6" fillId="0" borderId="0" xfId="1" applyNumberFormat="1" applyFont="1" applyAlignment="1">
      <alignment horizontal="right"/>
    </xf>
    <xf numFmtId="1" fontId="11" fillId="0" borderId="0" xfId="1" applyNumberFormat="1" applyFont="1" applyAlignment="1">
      <alignment horizontal="right"/>
    </xf>
    <xf numFmtId="1" fontId="6" fillId="0" borderId="0" xfId="1" applyNumberFormat="1" applyFont="1" applyAlignment="1">
      <alignment horizontal="center"/>
    </xf>
    <xf numFmtId="1" fontId="5" fillId="0" borderId="0" xfId="1" applyNumberFormat="1" applyFont="1" applyAlignment="1">
      <alignment horizontal="left"/>
    </xf>
    <xf numFmtId="1" fontId="12" fillId="0" borderId="0" xfId="1" applyNumberFormat="1" applyFont="1"/>
    <xf numFmtId="1" fontId="17" fillId="0" borderId="0" xfId="1" applyNumberFormat="1" applyFont="1"/>
    <xf numFmtId="1" fontId="17" fillId="0" borderId="0" xfId="1" applyNumberFormat="1" applyFont="1" applyAlignment="1">
      <alignment horizontal="right"/>
    </xf>
    <xf numFmtId="1" fontId="16" fillId="0" borderId="0" xfId="1" applyNumberFormat="1" applyFont="1" applyBorder="1"/>
    <xf numFmtId="1" fontId="16" fillId="0" borderId="0" xfId="1" applyNumberFormat="1" applyFont="1" applyAlignment="1">
      <alignment horizontal="center"/>
    </xf>
    <xf numFmtId="1" fontId="16" fillId="0" borderId="0" xfId="1" applyNumberFormat="1" applyFont="1"/>
    <xf numFmtId="1" fontId="19" fillId="0" borderId="0" xfId="1" applyNumberFormat="1" applyFont="1"/>
    <xf numFmtId="3" fontId="8" fillId="0" borderId="0" xfId="1" applyNumberFormat="1" applyFont="1" applyProtection="1"/>
    <xf numFmtId="3" fontId="6" fillId="0" borderId="0" xfId="1" applyNumberFormat="1" applyFont="1" applyProtection="1"/>
    <xf numFmtId="3" fontId="5" fillId="0" borderId="0" xfId="1" applyNumberFormat="1" applyFont="1" applyProtection="1"/>
    <xf numFmtId="3" fontId="5" fillId="0" borderId="0" xfId="1" applyNumberFormat="1" applyFont="1" applyAlignment="1" applyProtection="1">
      <alignment horizontal="right"/>
    </xf>
    <xf numFmtId="3" fontId="6" fillId="0" borderId="0" xfId="1" applyNumberFormat="1" applyFont="1" applyAlignment="1" applyProtection="1">
      <alignment horizontal="right"/>
    </xf>
    <xf numFmtId="3" fontId="12" fillId="0" borderId="0" xfId="1" applyNumberFormat="1" applyFont="1" applyProtection="1"/>
    <xf numFmtId="3" fontId="14" fillId="0" borderId="0" xfId="1" applyNumberFormat="1" applyFont="1" applyProtection="1"/>
    <xf numFmtId="3" fontId="18" fillId="0" borderId="0" xfId="1" applyNumberFormat="1" applyFont="1" applyBorder="1" applyProtection="1">
      <protection locked="0"/>
    </xf>
    <xf numFmtId="3" fontId="0" fillId="0" borderId="0" xfId="0" applyNumberFormat="1"/>
    <xf numFmtId="0" fontId="10" fillId="0" borderId="0" xfId="0" applyFont="1"/>
    <xf numFmtId="0" fontId="10" fillId="0" borderId="0" xfId="0" applyFont="1" applyAlignment="1">
      <alignment horizontal="right"/>
    </xf>
    <xf numFmtId="3" fontId="8" fillId="0" borderId="0" xfId="1" applyNumberFormat="1" applyFont="1" applyAlignment="1" applyProtection="1">
      <alignment horizontal="right"/>
    </xf>
    <xf numFmtId="1" fontId="5" fillId="0" borderId="0" xfId="1" applyNumberFormat="1" applyFont="1" applyBorder="1" applyAlignment="1">
      <alignment horizontal="right"/>
    </xf>
    <xf numFmtId="1" fontId="18" fillId="0" borderId="0" xfId="1" applyNumberFormat="1" applyFont="1" applyProtection="1">
      <protection locked="0"/>
    </xf>
    <xf numFmtId="0" fontId="0" fillId="0" borderId="0" xfId="0" applyAlignment="1">
      <alignment horizontal="right"/>
    </xf>
    <xf numFmtId="1" fontId="14" fillId="0" borderId="0" xfId="1" applyNumberFormat="1" applyFont="1"/>
    <xf numFmtId="1" fontId="6" fillId="0" borderId="0" xfId="1" applyNumberFormat="1" applyFont="1" applyProtection="1"/>
    <xf numFmtId="3" fontId="7" fillId="0" borderId="0" xfId="1" applyNumberFormat="1" applyFont="1" applyProtection="1"/>
    <xf numFmtId="3" fontId="14" fillId="0" borderId="0" xfId="1" applyNumberFormat="1" applyFont="1" applyAlignment="1" applyProtection="1">
      <alignment horizontal="right"/>
    </xf>
    <xf numFmtId="3" fontId="10" fillId="0" borderId="0" xfId="1" applyNumberFormat="1" applyFont="1" applyProtection="1"/>
    <xf numFmtId="3" fontId="7" fillId="0" borderId="0" xfId="1" applyNumberFormat="1" applyFont="1" applyAlignment="1" applyProtection="1">
      <alignment horizontal="right"/>
    </xf>
    <xf numFmtId="3" fontId="20" fillId="0" borderId="0" xfId="1" applyNumberFormat="1" applyFont="1" applyAlignment="1" applyProtection="1">
      <alignment horizontal="right"/>
      <protection locked="0"/>
    </xf>
    <xf numFmtId="3" fontId="10" fillId="0" borderId="0" xfId="1" applyNumberFormat="1" applyFont="1" applyAlignment="1" applyProtection="1">
      <alignment horizontal="right"/>
    </xf>
    <xf numFmtId="3" fontId="20" fillId="0" borderId="0" xfId="1" applyNumberFormat="1" applyFont="1" applyAlignment="1" applyProtection="1">
      <alignment horizontal="right"/>
    </xf>
    <xf numFmtId="3" fontId="12" fillId="2" borderId="1" xfId="1" applyNumberFormat="1" applyFont="1" applyFill="1" applyBorder="1" applyAlignment="1" applyProtection="1">
      <alignment horizontal="right"/>
    </xf>
    <xf numFmtId="9" fontId="21" fillId="2" borderId="2" xfId="1" applyNumberFormat="1" applyFont="1" applyFill="1" applyBorder="1" applyProtection="1">
      <protection locked="0"/>
    </xf>
    <xf numFmtId="3" fontId="10" fillId="2" borderId="2" xfId="1" applyNumberFormat="1" applyFont="1" applyFill="1" applyBorder="1" applyProtection="1"/>
    <xf numFmtId="3" fontId="10" fillId="2" borderId="3" xfId="1" applyNumberFormat="1" applyFont="1" applyFill="1" applyBorder="1" applyProtection="1"/>
    <xf numFmtId="3" fontId="20" fillId="2" borderId="4" xfId="1" applyNumberFormat="1" applyFont="1" applyFill="1" applyBorder="1" applyProtection="1">
      <protection locked="0"/>
    </xf>
    <xf numFmtId="3" fontId="12" fillId="2" borderId="0" xfId="1" applyNumberFormat="1" applyFont="1" applyFill="1" applyBorder="1" applyProtection="1"/>
    <xf numFmtId="3" fontId="12" fillId="2" borderId="5" xfId="1" applyNumberFormat="1" applyFont="1" applyFill="1" applyBorder="1" applyProtection="1"/>
    <xf numFmtId="3" fontId="12" fillId="2" borderId="4" xfId="1" applyNumberFormat="1" applyFont="1" applyFill="1" applyBorder="1" applyProtection="1"/>
    <xf numFmtId="3" fontId="21" fillId="0" borderId="0" xfId="1" applyNumberFormat="1" applyFont="1" applyFill="1" applyBorder="1" applyProtection="1">
      <protection locked="0"/>
    </xf>
    <xf numFmtId="3" fontId="21" fillId="0" borderId="5" xfId="1" applyNumberFormat="1" applyFont="1" applyFill="1" applyBorder="1" applyProtection="1">
      <protection locked="0"/>
    </xf>
    <xf numFmtId="3" fontId="14" fillId="2" borderId="0" xfId="1" applyNumberFormat="1" applyFont="1" applyFill="1" applyBorder="1" applyProtection="1"/>
    <xf numFmtId="3" fontId="14" fillId="2" borderId="5" xfId="1" applyNumberFormat="1" applyFont="1" applyFill="1" applyBorder="1" applyProtection="1"/>
    <xf numFmtId="3" fontId="12" fillId="2" borderId="0" xfId="1" applyNumberFormat="1" applyFont="1" applyFill="1" applyBorder="1" applyProtection="1">
      <protection locked="0"/>
    </xf>
    <xf numFmtId="3" fontId="14" fillId="2" borderId="0" xfId="1" applyNumberFormat="1" applyFont="1" applyFill="1" applyBorder="1" applyProtection="1">
      <protection locked="0"/>
    </xf>
    <xf numFmtId="3" fontId="14" fillId="2" borderId="6" xfId="1" applyNumberFormat="1" applyFont="1" applyFill="1" applyBorder="1" applyProtection="1"/>
    <xf numFmtId="3" fontId="14" fillId="2" borderId="7" xfId="1" applyNumberFormat="1" applyFont="1" applyFill="1" applyBorder="1" applyProtection="1"/>
    <xf numFmtId="3" fontId="14" fillId="2" borderId="8" xfId="1" applyNumberFormat="1" applyFont="1" applyFill="1" applyBorder="1" applyProtection="1"/>
    <xf numFmtId="3" fontId="14" fillId="0" borderId="0" xfId="1" applyNumberFormat="1" applyFont="1" applyFill="1" applyBorder="1" applyProtection="1"/>
    <xf numFmtId="3" fontId="14" fillId="0" borderId="0" xfId="1" applyNumberFormat="1" applyFont="1" applyFill="1" applyProtection="1"/>
    <xf numFmtId="3" fontId="14" fillId="0" borderId="0" xfId="1" applyNumberFormat="1" applyFont="1" applyFill="1" applyAlignment="1" applyProtection="1">
      <alignment horizontal="right"/>
    </xf>
    <xf numFmtId="3" fontId="10" fillId="0" borderId="0" xfId="1" applyNumberFormat="1" applyFont="1" applyProtection="1">
      <protection locked="0"/>
    </xf>
    <xf numFmtId="10" fontId="21" fillId="0" borderId="0" xfId="2" applyNumberFormat="1" applyFont="1" applyProtection="1">
      <protection locked="0"/>
    </xf>
    <xf numFmtId="3" fontId="7" fillId="0" borderId="0" xfId="1" applyNumberFormat="1" applyFont="1" applyProtection="1">
      <protection locked="0"/>
    </xf>
    <xf numFmtId="3" fontId="21" fillId="0" borderId="0" xfId="1" applyNumberFormat="1" applyFont="1" applyProtection="1">
      <protection locked="0"/>
    </xf>
    <xf numFmtId="9" fontId="21" fillId="0" borderId="0" xfId="2" applyNumberFormat="1" applyFont="1" applyProtection="1">
      <protection locked="0"/>
    </xf>
    <xf numFmtId="9" fontId="21" fillId="0" borderId="0" xfId="1" applyNumberFormat="1" applyFont="1" applyAlignment="1" applyProtection="1">
      <alignment horizontal="right"/>
      <protection locked="0"/>
    </xf>
    <xf numFmtId="3" fontId="22" fillId="0" borderId="0" xfId="1" applyNumberFormat="1" applyFont="1" applyProtection="1"/>
    <xf numFmtId="3" fontId="7" fillId="0" borderId="0" xfId="1" applyNumberFormat="1" applyFont="1" applyAlignment="1" applyProtection="1">
      <alignment horizontal="right"/>
      <protection locked="0"/>
    </xf>
    <xf numFmtId="3" fontId="23" fillId="0" borderId="0" xfId="1" applyNumberFormat="1" applyFont="1" applyProtection="1"/>
    <xf numFmtId="3" fontId="14" fillId="0" borderId="0" xfId="1" applyNumberFormat="1" applyFont="1" applyBorder="1" applyProtection="1"/>
    <xf numFmtId="3" fontId="21" fillId="0" borderId="0" xfId="1" applyNumberFormat="1" applyFont="1" applyBorder="1" applyProtection="1">
      <protection locked="0"/>
    </xf>
    <xf numFmtId="3" fontId="12" fillId="0" borderId="0" xfId="1" applyNumberFormat="1" applyFont="1" applyProtection="1">
      <protection locked="0"/>
    </xf>
    <xf numFmtId="3" fontId="7" fillId="0" borderId="0" xfId="0" applyNumberFormat="1" applyFont="1"/>
    <xf numFmtId="3" fontId="12" fillId="0" borderId="0" xfId="1" applyNumberFormat="1" applyFont="1" applyAlignment="1" applyProtection="1">
      <alignment horizontal="right"/>
    </xf>
    <xf numFmtId="3" fontId="12" fillId="0" borderId="0" xfId="1" applyNumberFormat="1" applyFont="1" applyAlignment="1" applyProtection="1">
      <alignment horizontal="left"/>
    </xf>
    <xf numFmtId="3" fontId="14" fillId="0" borderId="0" xfId="1" applyNumberFormat="1" applyFont="1" applyAlignment="1" applyProtection="1">
      <alignment horizontal="left"/>
    </xf>
    <xf numFmtId="9" fontId="21" fillId="0" borderId="0" xfId="1" applyNumberFormat="1" applyFont="1" applyProtection="1">
      <protection locked="0"/>
    </xf>
    <xf numFmtId="0" fontId="8" fillId="0" borderId="0" xfId="0" applyFont="1"/>
    <xf numFmtId="1" fontId="13" fillId="0" borderId="0" xfId="1" applyNumberFormat="1" applyFont="1" applyProtection="1">
      <protection locked="0"/>
    </xf>
    <xf numFmtId="1" fontId="11" fillId="0" borderId="0" xfId="1" applyNumberFormat="1" applyFont="1" applyProtection="1">
      <protection locked="0"/>
    </xf>
    <xf numFmtId="1" fontId="9" fillId="0" borderId="0" xfId="1" applyNumberFormat="1" applyFont="1" applyProtection="1">
      <protection locked="0"/>
    </xf>
    <xf numFmtId="1" fontId="9" fillId="0" borderId="0" xfId="1" applyNumberFormat="1" applyFont="1" applyAlignment="1" applyProtection="1">
      <alignment horizontal="right"/>
      <protection locked="0"/>
    </xf>
    <xf numFmtId="1" fontId="11" fillId="0" borderId="0" xfId="1" applyNumberFormat="1" applyFont="1" applyAlignment="1" applyProtection="1">
      <alignment horizontal="right"/>
      <protection locked="0"/>
    </xf>
    <xf numFmtId="1" fontId="19" fillId="0" borderId="0" xfId="1" applyNumberFormat="1" applyFont="1" applyProtection="1">
      <protection locked="0"/>
    </xf>
    <xf numFmtId="1" fontId="19" fillId="0" borderId="0" xfId="1" applyNumberFormat="1" applyFont="1" applyAlignment="1" applyProtection="1">
      <alignment horizontal="right"/>
      <protection locked="0"/>
    </xf>
    <xf numFmtId="3" fontId="18" fillId="0" borderId="0" xfId="1" applyNumberFormat="1" applyFont="1" applyAlignment="1" applyProtection="1">
      <alignment horizontal="right"/>
      <protection locked="0"/>
    </xf>
    <xf numFmtId="3" fontId="11" fillId="0" borderId="0" xfId="1" applyNumberFormat="1" applyFont="1" applyProtection="1">
      <protection locked="0"/>
    </xf>
    <xf numFmtId="3" fontId="9" fillId="0" borderId="0" xfId="1" applyNumberFormat="1" applyFont="1" applyAlignment="1" applyProtection="1">
      <alignment horizontal="right"/>
      <protection locked="0"/>
    </xf>
    <xf numFmtId="3" fontId="11" fillId="0" borderId="0" xfId="1" applyNumberFormat="1" applyFont="1" applyAlignment="1" applyProtection="1">
      <alignment horizontal="right"/>
      <protection locked="0"/>
    </xf>
    <xf numFmtId="3" fontId="9" fillId="0" borderId="0" xfId="1" applyNumberFormat="1" applyFont="1" applyProtection="1">
      <protection locked="0"/>
    </xf>
    <xf numFmtId="3" fontId="19" fillId="0" borderId="0" xfId="1" applyNumberFormat="1" applyFont="1" applyProtection="1">
      <protection locked="0"/>
    </xf>
    <xf numFmtId="3" fontId="18" fillId="0" borderId="0" xfId="1" applyNumberFormat="1" applyFont="1" applyProtection="1">
      <protection locked="0"/>
    </xf>
    <xf numFmtId="1" fontId="15" fillId="0" borderId="0" xfId="1" applyNumberFormat="1" applyFont="1" applyProtection="1">
      <protection locked="0"/>
    </xf>
    <xf numFmtId="3" fontId="9" fillId="0" borderId="0" xfId="1" applyNumberFormat="1" applyFont="1" applyAlignment="1" applyProtection="1">
      <alignment horizontal="center"/>
      <protection locked="0"/>
    </xf>
    <xf numFmtId="1" fontId="9" fillId="0" borderId="0" xfId="1" applyNumberFormat="1" applyFont="1" applyAlignment="1" applyProtection="1">
      <alignment horizontal="center"/>
      <protection locked="0"/>
    </xf>
    <xf numFmtId="3" fontId="11" fillId="0" borderId="0" xfId="1" applyNumberFormat="1" applyFont="1" applyBorder="1" applyProtection="1">
      <protection locked="0"/>
    </xf>
    <xf numFmtId="3" fontId="9" fillId="0" borderId="0" xfId="1" applyNumberFormat="1" applyFont="1" applyBorder="1" applyProtection="1">
      <protection locked="0"/>
    </xf>
    <xf numFmtId="1" fontId="13" fillId="0" borderId="0" xfId="1" applyNumberFormat="1" applyFont="1" applyProtection="1"/>
    <xf numFmtId="1" fontId="11" fillId="0" borderId="0" xfId="1" applyNumberFormat="1" applyFont="1" applyProtection="1"/>
    <xf numFmtId="1" fontId="9" fillId="0" borderId="0" xfId="1" applyNumberFormat="1" applyFont="1" applyProtection="1"/>
    <xf numFmtId="1" fontId="9" fillId="0" borderId="0" xfId="1" applyNumberFormat="1" applyFont="1" applyAlignment="1" applyProtection="1">
      <alignment horizontal="right"/>
    </xf>
    <xf numFmtId="1" fontId="11" fillId="0" borderId="0" xfId="1" applyNumberFormat="1" applyFont="1" applyAlignment="1" applyProtection="1">
      <alignment horizontal="right"/>
    </xf>
    <xf numFmtId="3" fontId="11" fillId="0" borderId="0" xfId="1" applyNumberFormat="1" applyFont="1" applyProtection="1"/>
    <xf numFmtId="3" fontId="9" fillId="0" borderId="0" xfId="1" applyNumberFormat="1" applyFont="1" applyAlignment="1" applyProtection="1">
      <alignment horizontal="right"/>
    </xf>
    <xf numFmtId="3" fontId="11" fillId="0" borderId="0" xfId="1" applyNumberFormat="1" applyFont="1" applyAlignment="1" applyProtection="1">
      <alignment horizontal="right"/>
    </xf>
    <xf numFmtId="3" fontId="9" fillId="0" borderId="0" xfId="1" applyNumberFormat="1" applyFont="1" applyProtection="1"/>
    <xf numFmtId="1" fontId="5" fillId="0" borderId="0" xfId="1" applyNumberFormat="1" applyFont="1" applyProtection="1"/>
    <xf numFmtId="3" fontId="10" fillId="0" borderId="0" xfId="1" applyNumberFormat="1" applyFont="1" applyAlignment="1" applyProtection="1">
      <alignment horizontal="right"/>
      <protection locked="0"/>
    </xf>
    <xf numFmtId="3" fontId="14" fillId="0" borderId="0" xfId="1" applyNumberFormat="1" applyFont="1" applyAlignment="1" applyProtection="1">
      <alignment horizontal="right"/>
      <protection locked="0"/>
    </xf>
    <xf numFmtId="3" fontId="14" fillId="0" borderId="0" xfId="1" applyNumberFormat="1" applyFont="1" applyFill="1" applyAlignment="1" applyProtection="1">
      <alignment horizontal="right"/>
      <protection locked="0"/>
    </xf>
    <xf numFmtId="1" fontId="14" fillId="0" borderId="0" xfId="1" applyNumberFormat="1" applyFont="1" applyAlignment="1" applyProtection="1">
      <alignment horizontal="right"/>
      <protection locked="0"/>
    </xf>
    <xf numFmtId="1" fontId="12" fillId="0" borderId="0" xfId="1" applyNumberFormat="1" applyFont="1" applyProtection="1"/>
    <xf numFmtId="1" fontId="13" fillId="0" borderId="0" xfId="1" applyNumberFormat="1" applyFont="1" applyAlignment="1" applyProtection="1"/>
    <xf numFmtId="1" fontId="5" fillId="0" borderId="0" xfId="0" applyNumberFormat="1" applyFont="1" applyProtection="1"/>
    <xf numFmtId="1" fontId="4" fillId="0" borderId="0" xfId="0" applyNumberFormat="1" applyFont="1" applyAlignment="1" applyProtection="1">
      <alignment horizontal="right"/>
    </xf>
    <xf numFmtId="1" fontId="3" fillId="0" borderId="0" xfId="0" applyNumberFormat="1" applyFont="1" applyAlignment="1" applyProtection="1">
      <alignment horizontal="right"/>
    </xf>
    <xf numFmtId="1" fontId="12" fillId="0" borderId="0" xfId="1" applyNumberFormat="1" applyFont="1" applyAlignment="1" applyProtection="1">
      <alignment horizontal="right"/>
    </xf>
    <xf numFmtId="1" fontId="6" fillId="0" borderId="0" xfId="0" applyNumberFormat="1" applyFont="1" applyProtection="1"/>
    <xf numFmtId="1" fontId="5" fillId="0" borderId="0" xfId="0" applyNumberFormat="1" applyFont="1" applyBorder="1" applyProtection="1"/>
    <xf numFmtId="1" fontId="14" fillId="0" borderId="0" xfId="1" applyNumberFormat="1" applyFont="1" applyProtection="1"/>
    <xf numFmtId="3" fontId="6" fillId="0" borderId="0" xfId="1" applyNumberFormat="1" applyFont="1" applyBorder="1"/>
    <xf numFmtId="3" fontId="11" fillId="0" borderId="0" xfId="1" applyNumberFormat="1" applyFont="1"/>
    <xf numFmtId="3" fontId="5" fillId="0" borderId="0" xfId="1" applyNumberFormat="1" applyFont="1" applyBorder="1"/>
    <xf numFmtId="3" fontId="5" fillId="0" borderId="0" xfId="1" applyNumberFormat="1" applyFont="1"/>
    <xf numFmtId="3" fontId="6" fillId="0" borderId="0" xfId="1" applyNumberFormat="1" applyFont="1"/>
    <xf numFmtId="3" fontId="16" fillId="0" borderId="0" xfId="1" applyNumberFormat="1" applyFont="1" applyBorder="1"/>
    <xf numFmtId="3" fontId="16" fillId="0" borderId="0" xfId="1" applyNumberFormat="1" applyFont="1" applyBorder="1" applyAlignment="1" applyProtection="1">
      <alignment horizontal="right"/>
      <protection locked="0"/>
    </xf>
    <xf numFmtId="3" fontId="11" fillId="0" borderId="0" xfId="1" applyNumberFormat="1" applyFont="1" applyAlignment="1">
      <alignment horizontal="right"/>
    </xf>
    <xf numFmtId="3" fontId="16" fillId="0" borderId="0" xfId="1" applyNumberFormat="1" applyFont="1" applyBorder="1" applyProtection="1">
      <protection locked="0"/>
    </xf>
    <xf numFmtId="3" fontId="18" fillId="0" borderId="0" xfId="1" applyNumberFormat="1" applyFont="1" applyBorder="1"/>
    <xf numFmtId="3" fontId="10" fillId="0" borderId="0" xfId="0" applyNumberFormat="1" applyFont="1"/>
    <xf numFmtId="1" fontId="13" fillId="0" borderId="0" xfId="1" applyNumberFormat="1" applyFont="1"/>
    <xf numFmtId="1" fontId="13" fillId="0" borderId="0" xfId="1" applyNumberFormat="1" applyFont="1" applyAlignment="1"/>
    <xf numFmtId="1" fontId="5" fillId="0" borderId="0" xfId="0" applyNumberFormat="1" applyFont="1"/>
    <xf numFmtId="1" fontId="4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" fontId="6" fillId="0" borderId="0" xfId="0" applyNumberFormat="1" applyFont="1"/>
    <xf numFmtId="1" fontId="5" fillId="0" borderId="0" xfId="0" applyNumberFormat="1" applyFont="1" applyBorder="1"/>
    <xf numFmtId="3" fontId="20" fillId="0" borderId="2" xfId="1" applyNumberFormat="1" applyFont="1" applyBorder="1" applyAlignment="1" applyProtection="1">
      <alignment horizontal="center"/>
      <protection locked="0"/>
    </xf>
    <xf numFmtId="3" fontId="20" fillId="0" borderId="7" xfId="1" applyNumberFormat="1" applyFont="1" applyBorder="1" applyAlignment="1" applyProtection="1">
      <alignment horizontal="center"/>
      <protection locked="0"/>
    </xf>
    <xf numFmtId="3" fontId="7" fillId="2" borderId="1" xfId="1" applyNumberFormat="1" applyFont="1" applyFill="1" applyBorder="1" applyProtection="1"/>
    <xf numFmtId="3" fontId="20" fillId="2" borderId="2" xfId="1" applyNumberFormat="1" applyFont="1" applyFill="1" applyBorder="1" applyAlignment="1" applyProtection="1">
      <alignment horizontal="right"/>
    </xf>
    <xf numFmtId="3" fontId="10" fillId="2" borderId="2" xfId="1" applyNumberFormat="1" applyFont="1" applyFill="1" applyBorder="1" applyAlignment="1" applyProtection="1">
      <alignment horizontal="right"/>
    </xf>
    <xf numFmtId="3" fontId="20" fillId="2" borderId="7" xfId="1" applyNumberFormat="1" applyFont="1" applyFill="1" applyBorder="1" applyAlignment="1" applyProtection="1">
      <alignment horizontal="right"/>
    </xf>
    <xf numFmtId="3" fontId="10" fillId="2" borderId="2" xfId="1" applyNumberFormat="1" applyFont="1" applyFill="1" applyBorder="1" applyAlignment="1" applyProtection="1">
      <alignment horizontal="left"/>
    </xf>
    <xf numFmtId="3" fontId="23" fillId="2" borderId="2" xfId="1" applyNumberFormat="1" applyFont="1" applyFill="1" applyBorder="1" applyAlignment="1" applyProtection="1">
      <alignment horizontal="left"/>
    </xf>
    <xf numFmtId="3" fontId="20" fillId="2" borderId="3" xfId="1" applyNumberFormat="1" applyFont="1" applyFill="1" applyBorder="1" applyAlignment="1" applyProtection="1">
      <alignment horizontal="right"/>
    </xf>
    <xf numFmtId="3" fontId="10" fillId="2" borderId="7" xfId="1" applyNumberFormat="1" applyFont="1" applyFill="1" applyBorder="1" applyAlignment="1" applyProtection="1">
      <alignment horizontal="left"/>
    </xf>
    <xf numFmtId="3" fontId="23" fillId="2" borderId="7" xfId="1" applyNumberFormat="1" applyFont="1" applyFill="1" applyBorder="1" applyAlignment="1" applyProtection="1">
      <alignment horizontal="left"/>
    </xf>
    <xf numFmtId="3" fontId="20" fillId="2" borderId="8" xfId="1" applyNumberFormat="1" applyFont="1" applyFill="1" applyBorder="1" applyAlignment="1" applyProtection="1">
      <alignment horizontal="right"/>
    </xf>
    <xf numFmtId="3" fontId="23" fillId="2" borderId="6" xfId="1" applyNumberFormat="1" applyFont="1" applyFill="1" applyBorder="1" applyProtection="1"/>
    <xf numFmtId="3" fontId="6" fillId="0" borderId="0" xfId="1" applyNumberFormat="1" applyFont="1" applyAlignment="1">
      <alignment horizontal="right"/>
    </xf>
    <xf numFmtId="3" fontId="6" fillId="0" borderId="0" xfId="0" applyNumberFormat="1" applyFont="1"/>
    <xf numFmtId="3" fontId="6" fillId="0" borderId="0" xfId="0" applyNumberFormat="1" applyFont="1" applyBorder="1"/>
    <xf numFmtId="3" fontId="5" fillId="0" borderId="0" xfId="0" applyNumberFormat="1" applyFont="1" applyBorder="1"/>
    <xf numFmtId="3" fontId="18" fillId="0" borderId="0" xfId="0" applyNumberFormat="1" applyFont="1" applyBorder="1" applyProtection="1">
      <protection locked="0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3" fontId="12" fillId="0" borderId="0" xfId="1" applyNumberFormat="1" applyFont="1"/>
    <xf numFmtId="3" fontId="6" fillId="0" borderId="0" xfId="0" applyNumberFormat="1" applyFont="1" applyProtection="1"/>
    <xf numFmtId="3" fontId="6" fillId="0" borderId="0" xfId="0" applyNumberFormat="1" applyFont="1" applyBorder="1" applyProtection="1"/>
    <xf numFmtId="3" fontId="5" fillId="0" borderId="0" xfId="0" applyNumberFormat="1" applyFont="1" applyBorder="1" applyProtection="1"/>
    <xf numFmtId="3" fontId="5" fillId="0" borderId="0" xfId="0" applyNumberFormat="1" applyFont="1" applyProtection="1"/>
    <xf numFmtId="3" fontId="18" fillId="0" borderId="0" xfId="0" applyNumberFormat="1" applyFont="1" applyBorder="1" applyProtection="1"/>
    <xf numFmtId="3" fontId="18" fillId="0" borderId="0" xfId="0" applyNumberFormat="1" applyFont="1" applyProtection="1">
      <protection locked="0"/>
    </xf>
    <xf numFmtId="1" fontId="18" fillId="0" borderId="0" xfId="1" applyNumberFormat="1" applyFont="1" applyAlignment="1" applyProtection="1">
      <alignment horizontal="right"/>
      <protection locked="0"/>
    </xf>
    <xf numFmtId="3" fontId="20" fillId="0" borderId="0" xfId="1" applyNumberFormat="1" applyFont="1" applyProtection="1">
      <protection locked="0"/>
    </xf>
    <xf numFmtId="3" fontId="21" fillId="0" borderId="0" xfId="1" applyNumberFormat="1" applyFont="1" applyProtection="1"/>
    <xf numFmtId="1" fontId="6" fillId="0" borderId="0" xfId="0" applyNumberFormat="1" applyFont="1" applyProtection="1">
      <protection locked="0"/>
    </xf>
    <xf numFmtId="3" fontId="20" fillId="0" borderId="0" xfId="1" applyNumberFormat="1" applyFont="1" applyAlignment="1" applyProtection="1">
      <alignment horizontal="center"/>
      <protection locked="0"/>
    </xf>
    <xf numFmtId="3" fontId="12" fillId="2" borderId="5" xfId="1" applyNumberFormat="1" applyFont="1" applyFill="1" applyBorder="1" applyProtection="1">
      <protection locked="0"/>
    </xf>
    <xf numFmtId="3" fontId="14" fillId="2" borderId="4" xfId="1" applyNumberFormat="1" applyFont="1" applyFill="1" applyBorder="1" applyProtection="1"/>
    <xf numFmtId="3" fontId="7" fillId="0" borderId="0" xfId="1" applyNumberFormat="1" applyFont="1" applyFill="1" applyProtection="1"/>
    <xf numFmtId="3" fontId="20" fillId="0" borderId="0" xfId="1" applyNumberFormat="1" applyFont="1" applyFill="1" applyAlignment="1" applyProtection="1">
      <alignment horizontal="right"/>
      <protection locked="0"/>
    </xf>
    <xf numFmtId="3" fontId="20" fillId="0" borderId="0" xfId="1" applyNumberFormat="1" applyFont="1" applyFill="1" applyAlignment="1" applyProtection="1">
      <alignment horizontal="center"/>
      <protection locked="0"/>
    </xf>
    <xf numFmtId="3" fontId="20" fillId="0" borderId="1" xfId="1" applyNumberFormat="1" applyFont="1" applyFill="1" applyBorder="1" applyAlignment="1" applyProtection="1">
      <alignment horizontal="center"/>
      <protection locked="0"/>
    </xf>
    <xf numFmtId="3" fontId="20" fillId="0" borderId="4" xfId="1" applyNumberFormat="1" applyFont="1" applyFill="1" applyBorder="1" applyAlignment="1" applyProtection="1">
      <alignment horizontal="center"/>
      <protection locked="0"/>
    </xf>
    <xf numFmtId="3" fontId="20" fillId="0" borderId="6" xfId="1" applyNumberFormat="1" applyFont="1" applyFill="1" applyBorder="1" applyAlignment="1" applyProtection="1">
      <alignment horizontal="center"/>
      <protection locked="0"/>
    </xf>
    <xf numFmtId="3" fontId="10" fillId="2" borderId="5" xfId="1" applyNumberFormat="1" applyFont="1" applyFill="1" applyBorder="1" applyProtection="1"/>
    <xf numFmtId="3" fontId="10" fillId="2" borderId="8" xfId="1" applyNumberFormat="1" applyFont="1" applyFill="1" applyBorder="1" applyProtection="1"/>
    <xf numFmtId="10" fontId="23" fillId="0" borderId="0" xfId="2" applyNumberFormat="1" applyFont="1" applyProtection="1">
      <protection locked="0"/>
    </xf>
    <xf numFmtId="0" fontId="26" fillId="0" borderId="9" xfId="4" applyFont="1" applyBorder="1" applyAlignment="1">
      <alignment vertical="center"/>
    </xf>
    <xf numFmtId="0" fontId="26" fillId="0" borderId="10" xfId="4" applyFont="1" applyBorder="1" applyAlignment="1">
      <alignment vertical="center"/>
    </xf>
    <xf numFmtId="0" fontId="26" fillId="0" borderId="10" xfId="4" applyFont="1" applyBorder="1" applyAlignment="1">
      <alignment vertical="top"/>
    </xf>
    <xf numFmtId="0" fontId="27" fillId="0" borderId="11" xfId="4" applyFont="1" applyBorder="1" applyAlignment="1">
      <alignment horizontal="left" vertical="center"/>
    </xf>
    <xf numFmtId="0" fontId="26" fillId="0" borderId="11" xfId="4" applyFont="1" applyBorder="1" applyAlignment="1">
      <alignment vertical="center"/>
    </xf>
    <xf numFmtId="0" fontId="1" fillId="0" borderId="0" xfId="4"/>
    <xf numFmtId="0" fontId="26" fillId="0" borderId="13" xfId="4" applyFont="1" applyBorder="1" applyAlignment="1">
      <alignment vertical="top"/>
    </xf>
    <xf numFmtId="14" fontId="27" fillId="0" borderId="14" xfId="4" applyNumberFormat="1" applyFont="1" applyBorder="1" applyAlignment="1">
      <alignment horizontal="left" vertical="center"/>
    </xf>
    <xf numFmtId="0" fontId="1" fillId="0" borderId="9" xfId="4" applyBorder="1"/>
    <xf numFmtId="0" fontId="27" fillId="0" borderId="11" xfId="4" applyFont="1" applyBorder="1" applyAlignment="1">
      <alignment vertical="center"/>
    </xf>
    <xf numFmtId="0" fontId="26" fillId="0" borderId="17" xfId="4" applyFont="1" applyBorder="1" applyAlignment="1">
      <alignment vertical="top"/>
    </xf>
    <xf numFmtId="0" fontId="25" fillId="0" borderId="0" xfId="4" applyFont="1"/>
    <xf numFmtId="0" fontId="25" fillId="0" borderId="0" xfId="4" applyFont="1" applyAlignment="1">
      <alignment horizontal="right" vertical="top"/>
    </xf>
    <xf numFmtId="0" fontId="28" fillId="0" borderId="0" xfId="0" applyFont="1"/>
    <xf numFmtId="0" fontId="1" fillId="0" borderId="15" xfId="4" quotePrefix="1" applyBorder="1"/>
    <xf numFmtId="1" fontId="20" fillId="0" borderId="0" xfId="1" applyNumberFormat="1" applyFont="1" applyAlignment="1" applyProtection="1">
      <alignment horizontal="right"/>
      <protection locked="0"/>
    </xf>
    <xf numFmtId="3" fontId="18" fillId="0" borderId="0" xfId="1" applyNumberFormat="1" applyFont="1" applyAlignment="1" applyProtection="1">
      <alignment horizontal="right"/>
    </xf>
    <xf numFmtId="3" fontId="6" fillId="0" borderId="0" xfId="1" quotePrefix="1" applyNumberFormat="1" applyFont="1"/>
    <xf numFmtId="3" fontId="18" fillId="0" borderId="0" xfId="1" applyNumberFormat="1" applyFont="1" applyProtection="1"/>
    <xf numFmtId="3" fontId="16" fillId="0" borderId="0" xfId="1" applyNumberFormat="1" applyFont="1"/>
    <xf numFmtId="1" fontId="2" fillId="0" borderId="0" xfId="1" applyNumberFormat="1" applyFont="1"/>
    <xf numFmtId="3" fontId="11" fillId="0" borderId="20" xfId="1" applyNumberFormat="1" applyFont="1" applyBorder="1" applyProtection="1">
      <protection locked="0"/>
    </xf>
    <xf numFmtId="1" fontId="10" fillId="0" borderId="19" xfId="1" applyNumberFormat="1" applyFont="1" applyBorder="1" applyProtection="1">
      <protection locked="0"/>
    </xf>
    <xf numFmtId="1" fontId="6" fillId="0" borderId="20" xfId="1" applyNumberFormat="1" applyFont="1" applyBorder="1" applyProtection="1">
      <protection locked="0"/>
    </xf>
    <xf numFmtId="3" fontId="10" fillId="0" borderId="20" xfId="1" applyNumberFormat="1" applyFont="1" applyBorder="1" applyProtection="1">
      <protection locked="0"/>
    </xf>
    <xf numFmtId="3" fontId="29" fillId="0" borderId="0" xfId="1" applyNumberFormat="1" applyFont="1" applyAlignment="1" applyProtection="1">
      <alignment horizontal="right"/>
    </xf>
    <xf numFmtId="3" fontId="29" fillId="0" borderId="0" xfId="1" applyNumberFormat="1" applyFont="1" applyProtection="1"/>
    <xf numFmtId="3" fontId="9" fillId="0" borderId="21" xfId="1" applyNumberFormat="1" applyFont="1" applyBorder="1" applyProtection="1">
      <protection locked="0"/>
    </xf>
    <xf numFmtId="1" fontId="11" fillId="0" borderId="20" xfId="1" applyNumberFormat="1" applyFont="1" applyBorder="1" applyProtection="1"/>
    <xf numFmtId="3" fontId="9" fillId="0" borderId="20" xfId="1" applyNumberFormat="1" applyFont="1" applyBorder="1" applyAlignment="1" applyProtection="1">
      <alignment horizontal="right"/>
    </xf>
    <xf numFmtId="3" fontId="9" fillId="0" borderId="21" xfId="1" applyNumberFormat="1" applyFont="1" applyBorder="1" applyAlignment="1" applyProtection="1">
      <alignment horizontal="right"/>
    </xf>
    <xf numFmtId="1" fontId="9" fillId="0" borderId="19" xfId="1" applyNumberFormat="1" applyFont="1" applyBorder="1" applyProtection="1"/>
    <xf numFmtId="1" fontId="9" fillId="0" borderId="20" xfId="1" applyNumberFormat="1" applyFont="1" applyBorder="1" applyProtection="1"/>
    <xf numFmtId="1" fontId="9" fillId="0" borderId="0" xfId="1" applyNumberFormat="1" applyFont="1" applyBorder="1" applyProtection="1"/>
    <xf numFmtId="3" fontId="9" fillId="0" borderId="0" xfId="1" applyNumberFormat="1" applyFont="1" applyBorder="1" applyAlignment="1" applyProtection="1">
      <alignment horizontal="right"/>
    </xf>
    <xf numFmtId="1" fontId="9" fillId="0" borderId="17" xfId="1" applyNumberFormat="1" applyFont="1" applyBorder="1" applyProtection="1"/>
    <xf numFmtId="1" fontId="11" fillId="0" borderId="22" xfId="1" applyNumberFormat="1" applyFont="1" applyBorder="1" applyProtection="1"/>
    <xf numFmtId="1" fontId="11" fillId="0" borderId="23" xfId="1" applyNumberFormat="1" applyFont="1" applyBorder="1" applyProtection="1"/>
    <xf numFmtId="3" fontId="11" fillId="0" borderId="23" xfId="1" applyNumberFormat="1" applyFont="1" applyBorder="1" applyAlignment="1" applyProtection="1">
      <alignment horizontal="right"/>
    </xf>
    <xf numFmtId="3" fontId="11" fillId="0" borderId="24" xfId="1" applyNumberFormat="1" applyFont="1" applyBorder="1" applyAlignment="1" applyProtection="1">
      <alignment horizontal="right"/>
    </xf>
    <xf numFmtId="1" fontId="11" fillId="0" borderId="1" xfId="1" applyNumberFormat="1" applyFont="1" applyBorder="1" applyProtection="1"/>
    <xf numFmtId="1" fontId="11" fillId="0" borderId="2" xfId="1" applyNumberFormat="1" applyFont="1" applyBorder="1" applyProtection="1"/>
    <xf numFmtId="3" fontId="11" fillId="0" borderId="2" xfId="1" applyNumberFormat="1" applyFont="1" applyBorder="1" applyAlignment="1" applyProtection="1">
      <alignment horizontal="right"/>
    </xf>
    <xf numFmtId="3" fontId="11" fillId="0" borderId="3" xfId="1" applyNumberFormat="1" applyFont="1" applyBorder="1" applyAlignment="1" applyProtection="1">
      <alignment horizontal="right"/>
    </xf>
    <xf numFmtId="3" fontId="28" fillId="0" borderId="12" xfId="4" quotePrefix="1" applyNumberFormat="1" applyFont="1" applyBorder="1" applyAlignment="1">
      <alignment horizontal="left" vertical="center" wrapText="1"/>
    </xf>
    <xf numFmtId="3" fontId="28" fillId="0" borderId="12" xfId="4" applyNumberFormat="1" applyFont="1" applyBorder="1" applyAlignment="1">
      <alignment horizontal="left" vertical="center" wrapText="1"/>
    </xf>
    <xf numFmtId="3" fontId="28" fillId="0" borderId="15" xfId="4" applyNumberFormat="1" applyFont="1" applyBorder="1" applyAlignment="1">
      <alignment horizontal="left" vertical="center" wrapText="1"/>
    </xf>
    <xf numFmtId="0" fontId="28" fillId="0" borderId="12" xfId="4" applyFont="1" applyBorder="1" applyAlignment="1">
      <alignment horizontal="left" vertical="center" wrapText="1"/>
    </xf>
    <xf numFmtId="0" fontId="28" fillId="0" borderId="15" xfId="4" applyFont="1" applyBorder="1" applyAlignment="1">
      <alignment horizontal="left" vertical="center" wrapText="1"/>
    </xf>
    <xf numFmtId="49" fontId="28" fillId="0" borderId="12" xfId="4" applyNumberFormat="1" applyFont="1" applyBorder="1" applyAlignment="1">
      <alignment horizontal="left" vertical="center"/>
    </xf>
    <xf numFmtId="49" fontId="28" fillId="0" borderId="15" xfId="4" applyNumberFormat="1" applyFont="1" applyBorder="1" applyAlignment="1">
      <alignment horizontal="left" vertical="center"/>
    </xf>
    <xf numFmtId="0" fontId="26" fillId="0" borderId="10" xfId="4" applyFont="1" applyBorder="1" applyAlignment="1">
      <alignment horizontal="left" vertical="center"/>
    </xf>
    <xf numFmtId="0" fontId="26" fillId="0" borderId="16" xfId="4" applyFont="1" applyBorder="1" applyAlignment="1">
      <alignment horizontal="left" vertical="center"/>
    </xf>
    <xf numFmtId="49" fontId="28" fillId="0" borderId="17" xfId="4" applyNumberFormat="1" applyFont="1" applyBorder="1" applyAlignment="1">
      <alignment horizontal="left" vertical="center" wrapText="1"/>
    </xf>
    <xf numFmtId="49" fontId="28" fillId="0" borderId="18" xfId="4" applyNumberFormat="1" applyFont="1" applyBorder="1" applyAlignment="1">
      <alignment horizontal="left" vertical="center" wrapText="1"/>
    </xf>
    <xf numFmtId="49" fontId="28" fillId="0" borderId="13" xfId="4" applyNumberFormat="1" applyFont="1" applyBorder="1" applyAlignment="1">
      <alignment horizontal="left" vertical="center" wrapText="1"/>
    </xf>
    <xf numFmtId="49" fontId="28" fillId="0" borderId="14" xfId="4" applyNumberFormat="1" applyFont="1" applyBorder="1" applyAlignment="1">
      <alignment horizontal="left" vertical="center" wrapText="1"/>
    </xf>
    <xf numFmtId="49" fontId="28" fillId="0" borderId="12" xfId="4" quotePrefix="1" applyNumberFormat="1" applyFont="1" applyBorder="1" applyAlignment="1">
      <alignment horizontal="left" vertical="center"/>
    </xf>
  </cellXfs>
  <cellStyles count="5">
    <cellStyle name="1000-sep (2 dec)" xfId="1" builtinId="3"/>
    <cellStyle name="Normal" xfId="0" builtinId="0"/>
    <cellStyle name="Normal 2" xfId="3"/>
    <cellStyle name="Normal 3" xfId="4"/>
    <cellStyle name="Pro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workbookViewId="0">
      <selection activeCell="E6" sqref="A1:E8"/>
    </sheetView>
  </sheetViews>
  <sheetFormatPr baseColWidth="10" defaultColWidth="8.83203125" defaultRowHeight="14" x14ac:dyDescent="0"/>
  <cols>
    <col min="1" max="1" width="8" style="192" customWidth="1"/>
    <col min="2" max="2" width="38.6640625" style="192" customWidth="1"/>
    <col min="3" max="3" width="13.5" style="192" bestFit="1" customWidth="1"/>
    <col min="4" max="4" width="10.33203125" style="192" bestFit="1" customWidth="1"/>
    <col min="5" max="5" width="10" style="192" bestFit="1" customWidth="1"/>
    <col min="6" max="6" width="9" style="192" customWidth="1"/>
    <col min="7" max="7" width="10.1640625" style="192" customWidth="1"/>
    <col min="8" max="16384" width="8.83203125" style="192"/>
  </cols>
  <sheetData>
    <row r="1" spans="1:8" ht="11.25" customHeight="1">
      <c r="A1" s="187" t="s">
        <v>244</v>
      </c>
      <c r="B1" s="188" t="s">
        <v>245</v>
      </c>
      <c r="C1" s="189" t="s">
        <v>246</v>
      </c>
      <c r="D1" s="190" t="s">
        <v>272</v>
      </c>
      <c r="E1" s="191" t="s">
        <v>247</v>
      </c>
    </row>
    <row r="2" spans="1:8" ht="11.25" customHeight="1" thickBot="1">
      <c r="A2" s="231" t="s">
        <v>270</v>
      </c>
      <c r="B2" s="234" t="s">
        <v>271</v>
      </c>
      <c r="C2" s="193" t="s">
        <v>248</v>
      </c>
      <c r="D2" s="194">
        <v>40545</v>
      </c>
      <c r="E2" s="236" t="s">
        <v>273</v>
      </c>
    </row>
    <row r="3" spans="1:8" ht="11.25" customHeight="1" thickBot="1">
      <c r="A3" s="232"/>
      <c r="B3" s="234"/>
      <c r="C3" s="189" t="s">
        <v>249</v>
      </c>
      <c r="D3" s="190"/>
      <c r="E3" s="236"/>
    </row>
    <row r="4" spans="1:8" ht="11.25" customHeight="1" thickBot="1">
      <c r="A4" s="233"/>
      <c r="B4" s="235"/>
      <c r="C4" s="193" t="s">
        <v>248</v>
      </c>
      <c r="D4" s="194"/>
      <c r="E4" s="237"/>
      <c r="H4" s="195" t="s">
        <v>250</v>
      </c>
    </row>
    <row r="5" spans="1:8" ht="11.25" customHeight="1" thickBot="1">
      <c r="A5" s="238" t="s">
        <v>251</v>
      </c>
      <c r="B5" s="239"/>
      <c r="C5" s="189" t="s">
        <v>252</v>
      </c>
      <c r="D5" s="196"/>
      <c r="E5" s="191" t="s">
        <v>253</v>
      </c>
      <c r="H5" s="201" t="s">
        <v>269</v>
      </c>
    </row>
    <row r="6" spans="1:8" ht="11.25" customHeight="1" thickBot="1">
      <c r="A6" s="240" t="s">
        <v>268</v>
      </c>
      <c r="B6" s="241"/>
      <c r="C6" s="193" t="s">
        <v>248</v>
      </c>
      <c r="D6" s="194"/>
      <c r="E6" s="244" t="s">
        <v>269</v>
      </c>
    </row>
    <row r="7" spans="1:8" ht="11.25" customHeight="1">
      <c r="A7" s="240"/>
      <c r="B7" s="241"/>
      <c r="C7" s="197" t="s">
        <v>254</v>
      </c>
      <c r="D7" s="190"/>
      <c r="E7" s="236"/>
    </row>
    <row r="8" spans="1:8" ht="11.25" customHeight="1" thickBot="1">
      <c r="A8" s="242"/>
      <c r="B8" s="243"/>
      <c r="C8" s="193" t="s">
        <v>248</v>
      </c>
      <c r="D8" s="194"/>
      <c r="E8" s="237"/>
    </row>
    <row r="14" spans="1:8">
      <c r="A14" s="192" t="s">
        <v>255</v>
      </c>
    </row>
    <row r="15" spans="1:8">
      <c r="A15" s="198" t="s">
        <v>256</v>
      </c>
      <c r="B15" s="198" t="s">
        <v>257</v>
      </c>
      <c r="C15" s="199" t="s">
        <v>258</v>
      </c>
      <c r="D15" s="199" t="s">
        <v>259</v>
      </c>
      <c r="E15" s="199" t="s">
        <v>260</v>
      </c>
    </row>
    <row r="16" spans="1:8">
      <c r="A16" s="192" t="s">
        <v>261</v>
      </c>
      <c r="B16" s="192" t="s">
        <v>247</v>
      </c>
      <c r="C16" s="192">
        <v>40</v>
      </c>
      <c r="E16" s="192">
        <v>0</v>
      </c>
    </row>
    <row r="17" spans="1:5" ht="15">
      <c r="A17" s="192" t="s">
        <v>262</v>
      </c>
      <c r="B17" s="192" t="s">
        <v>263</v>
      </c>
      <c r="C17" s="192">
        <v>40</v>
      </c>
      <c r="D17" s="200" t="s">
        <v>268</v>
      </c>
      <c r="E17" s="192">
        <v>1</v>
      </c>
    </row>
    <row r="18" spans="1:5">
      <c r="A18" s="192" t="s">
        <v>255</v>
      </c>
    </row>
    <row r="19" spans="1:5">
      <c r="A19" s="192" t="s">
        <v>264</v>
      </c>
      <c r="B19" s="192" t="s">
        <v>265</v>
      </c>
    </row>
    <row r="20" spans="1:5">
      <c r="A20" s="192" t="s">
        <v>266</v>
      </c>
      <c r="B20" s="192" t="s">
        <v>252</v>
      </c>
    </row>
    <row r="21" spans="1:5">
      <c r="A21" s="192" t="s">
        <v>267</v>
      </c>
      <c r="B21" s="192" t="s">
        <v>254</v>
      </c>
    </row>
  </sheetData>
  <sheetProtection password="E50E" sheet="1" objects="1" scenarios="1"/>
  <mergeCells count="6">
    <mergeCell ref="A2:A4"/>
    <mergeCell ref="B2:B4"/>
    <mergeCell ref="E2:E4"/>
    <mergeCell ref="A5:B5"/>
    <mergeCell ref="A6:B8"/>
    <mergeCell ref="E6:E8"/>
  </mergeCells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H113"/>
    </sheetView>
  </sheetViews>
  <sheetFormatPr baseColWidth="10" defaultColWidth="8.83203125" defaultRowHeight="15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 enableFormatConditionsCalculation="0">
    <pageSetUpPr fitToPage="1"/>
  </sheetPr>
  <dimension ref="A2:F38"/>
  <sheetViews>
    <sheetView workbookViewId="0">
      <selection activeCell="C14" sqref="C14"/>
    </sheetView>
  </sheetViews>
  <sheetFormatPr baseColWidth="10" defaultColWidth="8.6640625" defaultRowHeight="13" x14ac:dyDescent="0"/>
  <cols>
    <col min="1" max="1" width="29.5" style="7" customWidth="1"/>
    <col min="2" max="2" width="7.6640625" style="11" customWidth="1"/>
    <col min="3" max="5" width="9.6640625" style="7" customWidth="1"/>
    <col min="6" max="6" width="9.6640625" style="7" hidden="1" customWidth="1"/>
    <col min="7" max="16384" width="8.6640625" style="7"/>
  </cols>
  <sheetData>
    <row r="2" spans="1:6" ht="16">
      <c r="A2" s="3" t="s">
        <v>274</v>
      </c>
      <c r="C2" s="10"/>
      <c r="D2" s="10"/>
    </row>
    <row r="3" spans="1:6">
      <c r="C3" s="11"/>
      <c r="D3" s="11"/>
      <c r="E3" s="11"/>
    </row>
    <row r="4" spans="1:6" s="10" customFormat="1" ht="16">
      <c r="A4" s="3"/>
      <c r="B4" s="4" t="s">
        <v>2</v>
      </c>
      <c r="C4" s="4">
        <f>+Forudsætn.!B3</f>
        <v>2013</v>
      </c>
      <c r="D4" s="4">
        <f>+Forudsætn.!C3</f>
        <v>2014</v>
      </c>
      <c r="E4" s="4">
        <f>+Forudsætn.!D3</f>
        <v>2015</v>
      </c>
      <c r="F4" s="4" t="s">
        <v>1</v>
      </c>
    </row>
    <row r="6" spans="1:6" ht="21" customHeight="1">
      <c r="A6" s="10">
        <f>Budget!A6</f>
        <v>0</v>
      </c>
      <c r="B6" s="157">
        <f>+Budget!M6</f>
        <v>1</v>
      </c>
      <c r="C6" s="129">
        <f>+Budget!C16</f>
        <v>240900</v>
      </c>
      <c r="D6" s="129">
        <f>+Budget!E16</f>
        <v>301050</v>
      </c>
      <c r="E6" s="129">
        <f>+Budget!G16</f>
        <v>317450</v>
      </c>
      <c r="F6" s="129">
        <f>ROUND(SUM(C6:E6),0)</f>
        <v>859400</v>
      </c>
    </row>
    <row r="7" spans="1:6">
      <c r="B7" s="157"/>
      <c r="C7" s="130"/>
      <c r="D7" s="130"/>
      <c r="E7" s="130"/>
      <c r="F7" s="204" t="s">
        <v>269</v>
      </c>
    </row>
    <row r="8" spans="1:6" hidden="1">
      <c r="A8" s="7">
        <f>+Budget!A19</f>
        <v>0</v>
      </c>
      <c r="B8" s="157">
        <f>+Budget!M19</f>
        <v>2</v>
      </c>
      <c r="C8" s="130">
        <f>-Budget!C27</f>
        <v>0</v>
      </c>
      <c r="D8" s="130">
        <f>-Budget!E27</f>
        <v>0</v>
      </c>
      <c r="E8" s="130">
        <f>-Budget!G27</f>
        <v>0</v>
      </c>
      <c r="F8" s="130">
        <f>ROUND(SUM(C8:E8),0)</f>
        <v>0</v>
      </c>
    </row>
    <row r="9" spans="1:6" ht="21" hidden="1" customHeight="1">
      <c r="A9" s="10" t="s">
        <v>61</v>
      </c>
      <c r="B9" s="157"/>
      <c r="C9" s="129">
        <f>ROUND(SUM(C6:C8),0)</f>
        <v>240900</v>
      </c>
      <c r="D9" s="129">
        <f>ROUND(SUM(D6:D8),0)</f>
        <v>301050</v>
      </c>
      <c r="E9" s="129">
        <f>ROUND(SUM(E6:E8),0)</f>
        <v>317450</v>
      </c>
      <c r="F9" s="129">
        <f>ROUND(SUM(C9:E9),0)</f>
        <v>859400</v>
      </c>
    </row>
    <row r="10" spans="1:6" ht="14" hidden="1" customHeight="1">
      <c r="A10" s="10"/>
      <c r="B10" s="157"/>
      <c r="C10" s="129"/>
      <c r="D10" s="129"/>
      <c r="E10" s="129"/>
      <c r="F10" s="129"/>
    </row>
    <row r="11" spans="1:6" ht="14" hidden="1" customHeight="1">
      <c r="A11" s="7" t="str">
        <f>+Budget!A29</f>
        <v>Lønninger</v>
      </c>
      <c r="B11" s="157">
        <f>+Budget!M29</f>
        <v>3</v>
      </c>
      <c r="C11" s="130">
        <f>-Budget!C39</f>
        <v>0</v>
      </c>
      <c r="D11" s="130">
        <f>-Budget!E39</f>
        <v>0</v>
      </c>
      <c r="E11" s="130">
        <f>-Budget!G39</f>
        <v>0</v>
      </c>
      <c r="F11" s="130">
        <f>ROUND(SUM(C11:E11),0)</f>
        <v>0</v>
      </c>
    </row>
    <row r="12" spans="1:6" ht="21" hidden="1" customHeight="1">
      <c r="A12" s="10" t="s">
        <v>65</v>
      </c>
      <c r="B12" s="157"/>
      <c r="C12" s="129">
        <f>ROUND(SUM(C9:C11),0)</f>
        <v>240900</v>
      </c>
      <c r="D12" s="129">
        <f>ROUND(SUM(D9:D11),0)</f>
        <v>301050</v>
      </c>
      <c r="E12" s="129">
        <f>ROUND(SUM(E9:E11),0)</f>
        <v>317450</v>
      </c>
      <c r="F12" s="129">
        <f>ROUND(SUM(C12:E12),0)</f>
        <v>859400</v>
      </c>
    </row>
    <row r="13" spans="1:6" ht="14.25" hidden="1" customHeight="1">
      <c r="A13" s="10"/>
      <c r="B13" s="157"/>
      <c r="C13" s="129"/>
      <c r="D13" s="129"/>
      <c r="E13" s="129"/>
      <c r="F13" s="129"/>
    </row>
    <row r="14" spans="1:6">
      <c r="A14" s="7" t="str">
        <f>+Budget!A41</f>
        <v>Legepladser</v>
      </c>
      <c r="B14" s="157">
        <f>+Budget!M41</f>
        <v>2</v>
      </c>
      <c r="C14" s="130">
        <f>-Budget!C52</f>
        <v>-60000</v>
      </c>
      <c r="D14" s="130">
        <f>-Budget!E52</f>
        <v>-60000</v>
      </c>
      <c r="E14" s="130">
        <f>-Budget!G52</f>
        <v>-90000</v>
      </c>
      <c r="F14" s="130">
        <f>ROUND(SUM(C14:E14),0)</f>
        <v>-210000</v>
      </c>
    </row>
    <row r="15" spans="1:6">
      <c r="A15" s="7" t="str">
        <f>+Budget!A54</f>
        <v>Grønnearealer og veje/stier</v>
      </c>
      <c r="B15" s="157">
        <f>+Budget!M54</f>
        <v>3</v>
      </c>
      <c r="C15" s="130">
        <f>-Budget!C62</f>
        <v>-173500</v>
      </c>
      <c r="D15" s="130">
        <f>-Budget!E62</f>
        <v>-193000</v>
      </c>
      <c r="E15" s="130">
        <f>-Budget!G62</f>
        <v>-177500</v>
      </c>
      <c r="F15" s="130">
        <f>ROUND(SUM(C15:E15),0)</f>
        <v>-544000</v>
      </c>
    </row>
    <row r="16" spans="1:6" hidden="1">
      <c r="A16" s="7" t="str">
        <f>+Budget!A64</f>
        <v>Autodrift</v>
      </c>
      <c r="B16" s="157">
        <f>+Budget!M64</f>
        <v>6</v>
      </c>
      <c r="C16" s="130">
        <f>-Budget!C71</f>
        <v>0</v>
      </c>
      <c r="D16" s="130">
        <f>-Budget!E71</f>
        <v>0</v>
      </c>
      <c r="E16" s="130">
        <f>-Budget!G71</f>
        <v>0</v>
      </c>
      <c r="F16" s="130">
        <f>ROUND(SUM(C16:E16),0)</f>
        <v>0</v>
      </c>
    </row>
    <row r="17" spans="1:6">
      <c r="A17" s="7" t="str">
        <f>+Budget!A73</f>
        <v>Administrationsomkostninger</v>
      </c>
      <c r="B17" s="157">
        <f>+Budget!M73</f>
        <v>4</v>
      </c>
      <c r="C17" s="130">
        <f>-Budget!C84</f>
        <v>-25750</v>
      </c>
      <c r="D17" s="130">
        <f>-Budget!E84</f>
        <v>-29500</v>
      </c>
      <c r="E17" s="130">
        <f>-Budget!G84</f>
        <v>-29500</v>
      </c>
      <c r="F17" s="130">
        <f>ROUND(SUM(C17:E17),0)</f>
        <v>-84750</v>
      </c>
    </row>
    <row r="18" spans="1:6" ht="21" hidden="1" customHeight="1">
      <c r="A18" s="10" t="s">
        <v>53</v>
      </c>
      <c r="B18" s="157"/>
      <c r="C18" s="129">
        <f>ROUND(SUM(C12:C17),0)</f>
        <v>-18350</v>
      </c>
      <c r="D18" s="129">
        <f>ROUND(SUM(D12:D17),0)</f>
        <v>18550</v>
      </c>
      <c r="E18" s="129">
        <f>ROUND(SUM(E12:E17),0)</f>
        <v>20450</v>
      </c>
      <c r="F18" s="129">
        <f>ROUND(SUM(C18:E18),0)</f>
        <v>20650</v>
      </c>
    </row>
    <row r="19" spans="1:6" hidden="1">
      <c r="B19" s="157"/>
      <c r="C19" s="130"/>
      <c r="D19" s="130"/>
      <c r="E19" s="130"/>
      <c r="F19" s="130"/>
    </row>
    <row r="20" spans="1:6" hidden="1">
      <c r="A20" s="7" t="str">
        <f>+Budget!A88</f>
        <v>Afskrivninger</v>
      </c>
      <c r="B20" s="157">
        <f>+Budget!M88</f>
        <v>8</v>
      </c>
      <c r="C20" s="157">
        <f>-Budget!C96</f>
        <v>0</v>
      </c>
      <c r="D20" s="157">
        <f>-Budget!E96</f>
        <v>0</v>
      </c>
      <c r="E20" s="157">
        <f>-Budget!G96</f>
        <v>0</v>
      </c>
      <c r="F20" s="130">
        <f>ROUND(SUM(C20:E20),0)</f>
        <v>0</v>
      </c>
    </row>
    <row r="21" spans="1:6" ht="21" hidden="1" customHeight="1">
      <c r="A21" s="10" t="s">
        <v>54</v>
      </c>
      <c r="B21" s="157"/>
      <c r="C21" s="129">
        <f>ROUND(SUM(C18:C20),0)</f>
        <v>-18350</v>
      </c>
      <c r="D21" s="129">
        <f>ROUND(SUM(D18:D20),0)</f>
        <v>18550</v>
      </c>
      <c r="E21" s="129">
        <f>ROUND(SUM(E18:E20),0)</f>
        <v>20450</v>
      </c>
      <c r="F21" s="129">
        <f>ROUND(SUM(C21:E21),0)</f>
        <v>20650</v>
      </c>
    </row>
    <row r="22" spans="1:6">
      <c r="B22" s="157"/>
      <c r="C22" s="130"/>
      <c r="D22" s="130"/>
      <c r="E22" s="130"/>
      <c r="F22" s="130"/>
    </row>
    <row r="23" spans="1:6" hidden="1">
      <c r="A23" s="7" t="str">
        <f>+Budget!A98</f>
        <v>Renteindtægter</v>
      </c>
      <c r="B23" s="157">
        <f>+Budget!M98</f>
        <v>9</v>
      </c>
      <c r="C23" s="130">
        <f>+Budget!C102</f>
        <v>0</v>
      </c>
      <c r="D23" s="130">
        <f>+Budget!E102</f>
        <v>0</v>
      </c>
      <c r="E23" s="130">
        <f>+Budget!G102</f>
        <v>0</v>
      </c>
      <c r="F23" s="130">
        <f>ROUND(SUM(C23:E23),0)</f>
        <v>0</v>
      </c>
    </row>
    <row r="24" spans="1:6" hidden="1">
      <c r="A24" s="7" t="str">
        <f>+Budget!A104</f>
        <v>Renteudgifter</v>
      </c>
      <c r="B24" s="157">
        <f>+Budget!M104</f>
        <v>10</v>
      </c>
      <c r="C24" s="126">
        <f>-Budget!C113</f>
        <v>0</v>
      </c>
      <c r="D24" s="126">
        <f>-Budget!E113</f>
        <v>0</v>
      </c>
      <c r="E24" s="126">
        <f>-Budget!G113</f>
        <v>0</v>
      </c>
      <c r="F24" s="130">
        <f>ROUND(SUM(C24:E24),0)</f>
        <v>0</v>
      </c>
    </row>
    <row r="25" spans="1:6" ht="21" hidden="1" customHeight="1">
      <c r="A25" s="10" t="s">
        <v>55</v>
      </c>
      <c r="B25" s="157"/>
      <c r="C25" s="129">
        <f>ROUND(SUM(C21:C24),0)</f>
        <v>-18350</v>
      </c>
      <c r="D25" s="129">
        <f>ROUND(SUM(D21:D24),0)</f>
        <v>18550</v>
      </c>
      <c r="E25" s="129">
        <f>ROUND(SUM(E21:E24),0)</f>
        <v>20450</v>
      </c>
      <c r="F25" s="129">
        <f>ROUND(SUM(C25:E25),0)</f>
        <v>20650</v>
      </c>
    </row>
    <row r="26" spans="1:6" hidden="1">
      <c r="A26" s="10"/>
      <c r="B26" s="157"/>
      <c r="C26" s="129"/>
      <c r="D26" s="129"/>
      <c r="E26" s="129"/>
      <c r="F26" s="129"/>
    </row>
    <row r="27" spans="1:6" hidden="1">
      <c r="A27" s="7" t="s">
        <v>91</v>
      </c>
      <c r="B27" s="157"/>
      <c r="C27" s="130">
        <f>-ROUND(C25*Forudsætn.!B189,0)</f>
        <v>0</v>
      </c>
      <c r="D27" s="130">
        <f>-ROUND(D25*Forudsætn.!C189,0)</f>
        <v>0</v>
      </c>
      <c r="E27" s="130">
        <f>-ROUND(E25*Forudsætn.!D189,0)</f>
        <v>0</v>
      </c>
      <c r="F27" s="130">
        <f>ROUND(SUM(C27:E27),0)</f>
        <v>0</v>
      </c>
    </row>
    <row r="28" spans="1:6">
      <c r="A28" s="7" t="s">
        <v>185</v>
      </c>
      <c r="B28" s="157"/>
      <c r="C28" s="23">
        <v>-25000</v>
      </c>
      <c r="D28" s="23">
        <v>-25000</v>
      </c>
      <c r="E28" s="23">
        <v>-25000</v>
      </c>
      <c r="F28" s="130">
        <f>ROUND(SUM(C28:E28),0)</f>
        <v>-75000</v>
      </c>
    </row>
    <row r="29" spans="1:6" ht="21" customHeight="1">
      <c r="A29" s="10" t="s">
        <v>56</v>
      </c>
      <c r="B29" s="157"/>
      <c r="C29" s="129">
        <f>ROUND(SUM(C25:C28),0)</f>
        <v>-43350</v>
      </c>
      <c r="D29" s="129">
        <f>ROUND(SUM(D25:D28),0)</f>
        <v>-6450</v>
      </c>
      <c r="E29" s="129">
        <f>ROUND(SUM(E25:E28),0)</f>
        <v>-4550</v>
      </c>
      <c r="F29" s="129">
        <f>ROUND(SUM(C29:E29),0)</f>
        <v>-54350</v>
      </c>
    </row>
    <row r="30" spans="1:6">
      <c r="B30" s="157"/>
      <c r="C30" s="130"/>
      <c r="D30" s="130"/>
      <c r="E30" s="130"/>
      <c r="F30" s="130"/>
    </row>
    <row r="31" spans="1:6">
      <c r="B31" s="157"/>
      <c r="C31" s="130"/>
      <c r="D31" s="130"/>
      <c r="E31" s="130"/>
      <c r="F31" s="130"/>
    </row>
    <row r="32" spans="1:6">
      <c r="B32" s="157"/>
      <c r="C32" s="130"/>
      <c r="D32" s="130"/>
      <c r="E32" s="130"/>
      <c r="F32" s="130"/>
    </row>
    <row r="33" spans="2:6">
      <c r="B33" s="157"/>
      <c r="C33" s="130"/>
      <c r="D33" s="130"/>
      <c r="E33" s="130"/>
      <c r="F33" s="130"/>
    </row>
    <row r="34" spans="2:6">
      <c r="B34" s="157"/>
      <c r="C34" s="130"/>
      <c r="D34" s="130"/>
      <c r="E34" s="130"/>
      <c r="F34" s="130"/>
    </row>
    <row r="35" spans="2:6">
      <c r="B35" s="157"/>
      <c r="C35" s="130"/>
      <c r="D35" s="130"/>
      <c r="E35" s="130"/>
      <c r="F35" s="130"/>
    </row>
    <row r="36" spans="2:6">
      <c r="B36" s="157"/>
      <c r="C36" s="130"/>
      <c r="D36" s="130"/>
      <c r="E36" s="130"/>
      <c r="F36" s="130"/>
    </row>
    <row r="37" spans="2:6">
      <c r="B37" s="157"/>
      <c r="C37" s="130"/>
      <c r="D37" s="130"/>
      <c r="E37" s="130"/>
      <c r="F37" s="130"/>
    </row>
    <row r="38" spans="2:6">
      <c r="B38" s="157"/>
      <c r="C38" s="130"/>
      <c r="D38" s="130"/>
      <c r="E38" s="130"/>
      <c r="F38" s="130"/>
    </row>
  </sheetData>
  <phoneticPr fontId="24" type="noConversion"/>
  <pageMargins left="0.78740157480314965" right="0.78740157480314965" top="1.1811023622047245" bottom="0.78740157480314965" header="0.47244094488188981" footer="0.47244094488188981"/>
  <pageSetup paperSize="9" firstPageNumber="10" fitToHeight="100" orientation="portrait" useFirstPageNumber="1"/>
  <headerFooter alignWithMargins="0">
    <oddFooter xml:space="preserve">&amp;C
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 enableFormatConditionsCalculation="0">
    <pageSetUpPr fitToPage="1"/>
  </sheetPr>
  <dimension ref="A2:I76"/>
  <sheetViews>
    <sheetView topLeftCell="A35" workbookViewId="0">
      <selection activeCell="D80" sqref="D80"/>
    </sheetView>
  </sheetViews>
  <sheetFormatPr baseColWidth="10" defaultColWidth="8.6640625" defaultRowHeight="15" x14ac:dyDescent="0"/>
  <cols>
    <col min="1" max="1" width="29.5" style="1" customWidth="1"/>
    <col min="2" max="2" width="7.6640625" style="1" customWidth="1"/>
    <col min="3" max="3" width="9.6640625" style="16" customWidth="1"/>
    <col min="4" max="4" width="13.6640625" style="1" bestFit="1" customWidth="1"/>
    <col min="5" max="6" width="9.6640625" style="1" customWidth="1"/>
    <col min="7" max="16384" width="8.6640625" style="1"/>
  </cols>
  <sheetData>
    <row r="2" spans="1:6" ht="16">
      <c r="A2" s="3" t="s">
        <v>276</v>
      </c>
    </row>
    <row r="3" spans="1:6">
      <c r="C3" s="17"/>
      <c r="D3" s="2"/>
      <c r="E3" s="2"/>
      <c r="F3" s="2"/>
    </row>
    <row r="4" spans="1:6" s="6" customFormat="1" ht="16">
      <c r="A4" s="3"/>
      <c r="B4" s="5" t="s">
        <v>2</v>
      </c>
      <c r="C4" s="34" t="s">
        <v>48</v>
      </c>
      <c r="D4" s="4">
        <f>+Forudsætn.!B3</f>
        <v>2013</v>
      </c>
      <c r="E4" s="4">
        <f>+Forudsætn.!C3</f>
        <v>2014</v>
      </c>
      <c r="F4" s="4">
        <f>+Forudsætn.!D3</f>
        <v>2015</v>
      </c>
    </row>
    <row r="5" spans="1:6">
      <c r="A5" s="7"/>
      <c r="B5" s="8"/>
      <c r="C5" s="18"/>
      <c r="D5" s="7"/>
      <c r="E5" s="7"/>
      <c r="F5" s="7"/>
    </row>
    <row r="6" spans="1:6" hidden="1">
      <c r="A6" s="7" t="str">
        <f>+Forudsætn.!A23</f>
        <v>Goodwill</v>
      </c>
      <c r="B6" s="8"/>
      <c r="C6" s="126">
        <f>+Forudsætn.!B24-Forudsætn.!B29</f>
        <v>0</v>
      </c>
      <c r="D6" s="127">
        <f>+Forudsætn.!B34</f>
        <v>0</v>
      </c>
      <c r="E6" s="127">
        <f>+Forudsætn.!C34</f>
        <v>0</v>
      </c>
      <c r="F6" s="127">
        <f>+Forudsætn.!D34</f>
        <v>0</v>
      </c>
    </row>
    <row r="7" spans="1:6" hidden="1">
      <c r="A7" s="7" t="str">
        <f>+Forudsætn.!A43</f>
        <v>Indretning lejede lokaler</v>
      </c>
      <c r="B7" s="8"/>
      <c r="C7" s="126">
        <f>+Forudsætn.!B44-Forudsætn.!B49</f>
        <v>0</v>
      </c>
      <c r="D7" s="127">
        <f>+Forudsætn.!B54</f>
        <v>0</v>
      </c>
      <c r="E7" s="127">
        <f>+Forudsætn.!C54</f>
        <v>0</v>
      </c>
      <c r="F7" s="127">
        <f>+Forudsætn.!D54</f>
        <v>0</v>
      </c>
    </row>
    <row r="8" spans="1:6" hidden="1">
      <c r="A8" s="9" t="s">
        <v>92</v>
      </c>
      <c r="C8" s="29">
        <v>0</v>
      </c>
      <c r="D8" s="127">
        <f>C8</f>
        <v>0</v>
      </c>
      <c r="E8" s="127">
        <f>D8</f>
        <v>0</v>
      </c>
      <c r="F8" s="127">
        <f>E8</f>
        <v>0</v>
      </c>
    </row>
    <row r="9" spans="1:6" ht="21" hidden="1" customHeight="1">
      <c r="A9" s="10" t="s">
        <v>3</v>
      </c>
      <c r="C9" s="128">
        <f>SUM(C6:C8)</f>
        <v>0</v>
      </c>
      <c r="D9" s="129">
        <f>SUM(D6:D8)</f>
        <v>0</v>
      </c>
      <c r="E9" s="129">
        <f>SUM(E6:E8)</f>
        <v>0</v>
      </c>
      <c r="F9" s="129">
        <f>SUM(F6:F8)</f>
        <v>0</v>
      </c>
    </row>
    <row r="10" spans="1:6" hidden="1">
      <c r="A10" s="7"/>
      <c r="C10" s="126"/>
      <c r="D10" s="130"/>
      <c r="E10" s="130"/>
      <c r="F10" s="130"/>
    </row>
    <row r="11" spans="1:6" hidden="1">
      <c r="A11" s="9" t="str">
        <f>+Forudsætn.!A61</f>
        <v>Grunde og bygninger</v>
      </c>
      <c r="C11" s="126">
        <f>+Forudsætn.!B62-Forudsætn.!B67</f>
        <v>0</v>
      </c>
      <c r="D11" s="127">
        <f>+Forudsætn.!B72</f>
        <v>0</v>
      </c>
      <c r="E11" s="127">
        <f>+Forudsætn.!C72</f>
        <v>0</v>
      </c>
      <c r="F11" s="127">
        <f>+Forudsætn.!D72</f>
        <v>0</v>
      </c>
    </row>
    <row r="12" spans="1:6" hidden="1">
      <c r="A12" s="9" t="str">
        <f>+Forudsætn.!A81</f>
        <v>Tekniske anlæg</v>
      </c>
      <c r="C12" s="126">
        <f>+Forudsætn.!B82-Forudsætn.!B87</f>
        <v>0</v>
      </c>
      <c r="D12" s="127">
        <f>+Forudsætn.!B92</f>
        <v>0</v>
      </c>
      <c r="E12" s="127">
        <f>+Forudsætn.!C92</f>
        <v>0</v>
      </c>
      <c r="F12" s="127">
        <f>+Forudsætn.!D92</f>
        <v>0</v>
      </c>
    </row>
    <row r="13" spans="1:6" hidden="1">
      <c r="A13" s="9" t="str">
        <f>+Forudsætn.!A99</f>
        <v>Inventar</v>
      </c>
      <c r="C13" s="126">
        <f>+Forudsætn.!B100-Forudsætn.!B105</f>
        <v>0</v>
      </c>
      <c r="D13" s="127">
        <f>+Forudsætn.!B110</f>
        <v>0</v>
      </c>
      <c r="E13" s="127">
        <f>+Forudsætn.!C110</f>
        <v>0</v>
      </c>
      <c r="F13" s="127">
        <f>+Forudsætn.!D110</f>
        <v>0</v>
      </c>
    </row>
    <row r="14" spans="1:6" ht="21" hidden="1" customHeight="1">
      <c r="A14" s="10" t="s">
        <v>4</v>
      </c>
      <c r="C14" s="128">
        <f>SUM(C11:C13)</f>
        <v>0</v>
      </c>
      <c r="D14" s="128">
        <f>SUM(D11:D13)</f>
        <v>0</v>
      </c>
      <c r="E14" s="128">
        <f>SUM(E11:E13)</f>
        <v>0</v>
      </c>
      <c r="F14" s="128">
        <f>SUM(F11:F13)</f>
        <v>0</v>
      </c>
    </row>
    <row r="15" spans="1:6" ht="15" hidden="1" customHeight="1">
      <c r="A15" s="10"/>
      <c r="C15" s="128"/>
      <c r="D15" s="128"/>
      <c r="E15" s="128"/>
      <c r="F15" s="128"/>
    </row>
    <row r="16" spans="1:6" ht="21" hidden="1" customHeight="1">
      <c r="A16" s="7" t="s">
        <v>44</v>
      </c>
      <c r="C16" s="29">
        <v>0</v>
      </c>
      <c r="D16" s="29">
        <f>+C16</f>
        <v>0</v>
      </c>
      <c r="E16" s="29">
        <f>+D16</f>
        <v>0</v>
      </c>
      <c r="F16" s="29">
        <f>+E16</f>
        <v>0</v>
      </c>
    </row>
    <row r="17" spans="1:9" ht="21" hidden="1" customHeight="1">
      <c r="A17" s="10" t="s">
        <v>45</v>
      </c>
      <c r="C17" s="128">
        <f>SUM(C16)</f>
        <v>0</v>
      </c>
      <c r="D17" s="128">
        <f>SUM(D16)</f>
        <v>0</v>
      </c>
      <c r="E17" s="128">
        <f>SUM(E16)</f>
        <v>0</v>
      </c>
      <c r="F17" s="128">
        <f>SUM(F16)</f>
        <v>0</v>
      </c>
    </row>
    <row r="18" spans="1:9" hidden="1">
      <c r="A18" s="7"/>
      <c r="C18" s="126"/>
      <c r="D18" s="130"/>
      <c r="E18" s="130"/>
      <c r="F18" s="130"/>
    </row>
    <row r="19" spans="1:9" ht="21" hidden="1" customHeight="1">
      <c r="A19" s="10" t="s">
        <v>5</v>
      </c>
      <c r="C19" s="128">
        <f>+C9+C14+C17</f>
        <v>0</v>
      </c>
      <c r="D19" s="129">
        <f>+D9+D14+D17</f>
        <v>0</v>
      </c>
      <c r="E19" s="129">
        <f>+E9+E14+E17</f>
        <v>0</v>
      </c>
      <c r="F19" s="129">
        <f>+F9+F14+F17</f>
        <v>0</v>
      </c>
    </row>
    <row r="20" spans="1:9">
      <c r="A20" s="7"/>
      <c r="C20" s="131"/>
      <c r="D20" s="130"/>
      <c r="E20" s="130"/>
      <c r="F20" s="130"/>
    </row>
    <row r="21" spans="1:9" hidden="1">
      <c r="A21" s="7" t="s">
        <v>134</v>
      </c>
      <c r="C21" s="29">
        <v>0</v>
      </c>
      <c r="D21" s="130">
        <f>ROUND(C21-Budget!C26,0)</f>
        <v>0</v>
      </c>
      <c r="E21" s="130">
        <f>ROUND(D21-Budget!E26,0)</f>
        <v>0</v>
      </c>
      <c r="F21" s="130">
        <f>ROUND(E21-Budget!G26,0)</f>
        <v>0</v>
      </c>
    </row>
    <row r="22" spans="1:9" hidden="1">
      <c r="A22" s="7" t="s">
        <v>6</v>
      </c>
      <c r="C22" s="132">
        <v>0</v>
      </c>
      <c r="D22" s="133">
        <f>+Forudsætn.!B243</f>
        <v>0</v>
      </c>
      <c r="E22" s="133">
        <f>+Forudsætn.!C243</f>
        <v>0</v>
      </c>
      <c r="F22" s="133">
        <f>+Forudsætn.!D243</f>
        <v>0</v>
      </c>
    </row>
    <row r="23" spans="1:9">
      <c r="A23" s="7" t="s">
        <v>7</v>
      </c>
      <c r="C23" s="132">
        <v>25000</v>
      </c>
      <c r="D23" s="133">
        <v>0</v>
      </c>
      <c r="E23" s="133">
        <f>+D23</f>
        <v>0</v>
      </c>
      <c r="F23" s="133">
        <f>+E23</f>
        <v>0</v>
      </c>
    </row>
    <row r="24" spans="1:9" ht="21" customHeight="1">
      <c r="A24" s="10" t="s">
        <v>8</v>
      </c>
      <c r="C24" s="128">
        <f>SUM(C21:C23)</f>
        <v>25000</v>
      </c>
      <c r="D24" s="128">
        <f>SUM(D21:D23)</f>
        <v>0</v>
      </c>
      <c r="E24" s="128">
        <f>SUM(E21:E23)</f>
        <v>0</v>
      </c>
      <c r="F24" s="128">
        <f>SUM(F21:F23)</f>
        <v>0</v>
      </c>
    </row>
    <row r="25" spans="1:9">
      <c r="A25" s="7"/>
      <c r="C25" s="131"/>
      <c r="D25" s="130"/>
      <c r="E25" s="130"/>
      <c r="F25" s="130"/>
    </row>
    <row r="26" spans="1:9">
      <c r="A26" s="7" t="s">
        <v>292</v>
      </c>
      <c r="C26" s="206">
        <v>159455</v>
      </c>
      <c r="D26" s="131">
        <f>ROUND(IF(Forudsætn.!$E$10="X",IF(Beholdningsforskydn.!B31&gt;-1,Beholdningsforskydn.!B31,0),IF(Forudsætn.!$E$11="X",IF('Ind- og udbet.'!B38&gt;-1,'Ind- og udbet.'!B38,0),0)),0)</f>
        <v>166105</v>
      </c>
      <c r="E26" s="131">
        <f>ROUND(IF(Forudsætn.!$E$10="X",IF(Beholdningsforskydn.!C31&gt;-1,Beholdningsforskydn.!C31,0),IF(Forudsætn.!$E$11="X",IF('Ind- og udbet.'!C38&gt;-1,'Ind- og udbet.'!C38,0),0)),0)</f>
        <v>184655</v>
      </c>
      <c r="F26" s="131">
        <f>ROUND(IF(Forudsætn.!$E$10="X",IF(Beholdningsforskydn.!D31&gt;-1,Beholdningsforskydn.!D31,0),IF(Forudsætn.!$E$11="X",IF('Ind- og udbet.'!D38&gt;-1,'Ind- og udbet.'!D38,0),0)),0)</f>
        <v>205105</v>
      </c>
      <c r="I26" s="207"/>
    </row>
    <row r="27" spans="1:9">
      <c r="A27" s="7" t="s">
        <v>293</v>
      </c>
      <c r="C27" s="134">
        <v>124</v>
      </c>
      <c r="D27" s="130">
        <f>C27</f>
        <v>124</v>
      </c>
      <c r="E27" s="130">
        <f>D27</f>
        <v>124</v>
      </c>
      <c r="F27" s="130">
        <f>E27</f>
        <v>124</v>
      </c>
    </row>
    <row r="28" spans="1:9" ht="21" customHeight="1">
      <c r="A28" s="10" t="s">
        <v>9</v>
      </c>
      <c r="C28" s="128">
        <f>SUM(C25:C27)</f>
        <v>159579</v>
      </c>
      <c r="D28" s="128">
        <f>SUM(D25:D27)</f>
        <v>166229</v>
      </c>
      <c r="E28" s="128">
        <f>SUM(E25:E27)</f>
        <v>184779</v>
      </c>
      <c r="F28" s="128">
        <f>SUM(F25:F27)</f>
        <v>205229</v>
      </c>
    </row>
    <row r="29" spans="1:9">
      <c r="A29" s="7"/>
      <c r="C29" s="131"/>
      <c r="D29" s="130"/>
      <c r="E29" s="130"/>
      <c r="F29" s="130"/>
    </row>
    <row r="30" spans="1:9" ht="21" customHeight="1">
      <c r="A30" s="10" t="s">
        <v>10</v>
      </c>
      <c r="C30" s="128">
        <f>+C24+C28</f>
        <v>184579</v>
      </c>
      <c r="D30" s="128">
        <f>+D24+D28</f>
        <v>166229</v>
      </c>
      <c r="E30" s="128">
        <f>+E24+E28</f>
        <v>184779</v>
      </c>
      <c r="F30" s="128">
        <f>+F24+F28</f>
        <v>205229</v>
      </c>
    </row>
    <row r="31" spans="1:9">
      <c r="A31" s="7"/>
      <c r="C31" s="131"/>
      <c r="D31" s="130"/>
      <c r="E31" s="130"/>
      <c r="F31" s="130"/>
    </row>
    <row r="32" spans="1:9" ht="21" customHeight="1">
      <c r="A32" s="10" t="s">
        <v>11</v>
      </c>
      <c r="C32" s="128">
        <f>C19+C30</f>
        <v>184579</v>
      </c>
      <c r="D32" s="129">
        <f>D19+D30</f>
        <v>166229</v>
      </c>
      <c r="E32" s="129">
        <f>E19+E30</f>
        <v>184779</v>
      </c>
      <c r="F32" s="129">
        <f>F19+F30</f>
        <v>205229</v>
      </c>
    </row>
    <row r="33" spans="1:6">
      <c r="A33" s="7"/>
      <c r="C33" s="19"/>
      <c r="D33" s="13"/>
      <c r="E33" s="13"/>
      <c r="F33" s="13"/>
    </row>
    <row r="34" spans="1:6">
      <c r="A34" s="7"/>
      <c r="C34" s="19"/>
      <c r="D34" s="13"/>
      <c r="E34" s="13"/>
      <c r="F34" s="13"/>
    </row>
    <row r="35" spans="1:6">
      <c r="A35" s="7"/>
      <c r="C35" s="19"/>
      <c r="D35" s="13"/>
      <c r="E35" s="13"/>
      <c r="F35" s="13"/>
    </row>
    <row r="36" spans="1:6">
      <c r="A36" s="7"/>
      <c r="C36" s="19"/>
      <c r="D36" s="13"/>
      <c r="E36" s="13"/>
      <c r="F36" s="13"/>
    </row>
    <row r="37" spans="1:6" ht="16">
      <c r="A37" s="3" t="str">
        <f>+A2</f>
        <v>BALANCE</v>
      </c>
      <c r="C37" s="19"/>
      <c r="D37" s="13"/>
      <c r="E37" s="13"/>
      <c r="F37" s="13"/>
    </row>
    <row r="38" spans="1:6">
      <c r="C38" s="19"/>
      <c r="D38" s="13"/>
      <c r="E38" s="13"/>
      <c r="F38" s="13"/>
    </row>
    <row r="39" spans="1:6" s="6" customFormat="1" ht="16">
      <c r="A39" s="3"/>
      <c r="B39" s="5" t="s">
        <v>2</v>
      </c>
      <c r="C39" s="34" t="str">
        <f>+C4</f>
        <v>Primo</v>
      </c>
      <c r="D39" s="4">
        <f>+D4</f>
        <v>2013</v>
      </c>
      <c r="E39" s="4">
        <f>+E4</f>
        <v>2014</v>
      </c>
      <c r="F39" s="4">
        <f>+F4</f>
        <v>2015</v>
      </c>
    </row>
    <row r="40" spans="1:6">
      <c r="A40" s="7"/>
      <c r="C40" s="18"/>
      <c r="D40" s="7"/>
      <c r="E40" s="7"/>
      <c r="F40" s="7"/>
    </row>
    <row r="41" spans="1:6">
      <c r="A41" s="7" t="s">
        <v>285</v>
      </c>
      <c r="C41" s="134">
        <v>100000</v>
      </c>
      <c r="D41" s="23">
        <f>+C41</f>
        <v>100000</v>
      </c>
      <c r="E41" s="23">
        <f>D41+D43</f>
        <v>56650</v>
      </c>
      <c r="F41" s="23">
        <f>E45</f>
        <v>50200</v>
      </c>
    </row>
    <row r="42" spans="1:6" hidden="1">
      <c r="A42" s="7" t="s">
        <v>40</v>
      </c>
      <c r="C42" s="134">
        <v>0</v>
      </c>
      <c r="D42" s="23">
        <f>C42</f>
        <v>0</v>
      </c>
      <c r="E42" s="23">
        <f>+D42</f>
        <v>0</v>
      </c>
      <c r="F42" s="23">
        <f>+E42</f>
        <v>0</v>
      </c>
    </row>
    <row r="43" spans="1:6">
      <c r="A43" s="7" t="s">
        <v>286</v>
      </c>
      <c r="C43" s="134">
        <v>0</v>
      </c>
      <c r="D43" s="130">
        <f>+Resultat!C29</f>
        <v>-43350</v>
      </c>
      <c r="E43" s="130">
        <f>+Resultat!D29</f>
        <v>-6450</v>
      </c>
      <c r="F43" s="130">
        <f>Resultat!E29</f>
        <v>-4550</v>
      </c>
    </row>
    <row r="44" spans="1:6" hidden="1">
      <c r="A44" s="7" t="s">
        <v>12</v>
      </c>
      <c r="C44" s="29">
        <v>0</v>
      </c>
      <c r="D44" s="97">
        <f>+C44</f>
        <v>0</v>
      </c>
      <c r="E44" s="97">
        <f>+D44</f>
        <v>0</v>
      </c>
      <c r="F44" s="97">
        <f>+E44</f>
        <v>0</v>
      </c>
    </row>
    <row r="45" spans="1:6" ht="21" customHeight="1">
      <c r="A45" s="14" t="s">
        <v>13</v>
      </c>
      <c r="C45" s="129">
        <f>ROUND(SUM(C41:C44),0)</f>
        <v>100000</v>
      </c>
      <c r="D45" s="129">
        <f>ROUND(SUM(D41:D44),0)</f>
        <v>56650</v>
      </c>
      <c r="E45" s="129">
        <f>ROUND(SUM(E41:E44),0)</f>
        <v>50200</v>
      </c>
      <c r="F45" s="129">
        <f>ROUND(SUM(F41:F44),0)</f>
        <v>45650</v>
      </c>
    </row>
    <row r="46" spans="1:6">
      <c r="A46" s="7"/>
      <c r="C46" s="131"/>
      <c r="D46" s="130"/>
      <c r="E46" s="130"/>
      <c r="F46" s="130"/>
    </row>
    <row r="47" spans="1:6">
      <c r="A47" s="7" t="s">
        <v>298</v>
      </c>
      <c r="C47" s="29">
        <v>84579</v>
      </c>
      <c r="D47" s="97">
        <f>C47-Resultat!C28</f>
        <v>109579</v>
      </c>
      <c r="E47" s="97">
        <f>D47-Resultat!D28</f>
        <v>134579</v>
      </c>
      <c r="F47" s="97">
        <f>E47-Resultat!E28</f>
        <v>159579</v>
      </c>
    </row>
    <row r="48" spans="1:6" ht="21" customHeight="1">
      <c r="A48" s="10" t="s">
        <v>14</v>
      </c>
      <c r="C48" s="129">
        <f>ROUND(SUM(C46:C47),0)</f>
        <v>84579</v>
      </c>
      <c r="D48" s="129">
        <f>ROUND(SUM(D46:D47),0)</f>
        <v>109579</v>
      </c>
      <c r="E48" s="129">
        <f>ROUND(SUM(E46:E47),0)</f>
        <v>134579</v>
      </c>
      <c r="F48" s="129">
        <f>ROUND(SUM(F46:F47),0)</f>
        <v>159579</v>
      </c>
    </row>
    <row r="49" spans="1:6">
      <c r="A49" s="7"/>
      <c r="C49" s="131"/>
      <c r="D49" s="130"/>
      <c r="E49" s="130"/>
      <c r="F49" s="130"/>
    </row>
    <row r="50" spans="1:6" s="15" customFormat="1" hidden="1">
      <c r="A50" s="7" t="s">
        <v>221</v>
      </c>
      <c r="C50" s="134">
        <v>0</v>
      </c>
      <c r="D50" s="127">
        <f>ROUND(C50-Forudsætn.!B130+Budget!C106,0)</f>
        <v>0</v>
      </c>
      <c r="E50" s="127">
        <f>ROUND(D50-Forudsætn.!C130+Budget!E106,0)</f>
        <v>0</v>
      </c>
      <c r="F50" s="127">
        <f>ROUND(E50-Forudsætn.!D130+Budget!G106,0)</f>
        <v>0</v>
      </c>
    </row>
    <row r="51" spans="1:6" s="15" customFormat="1" hidden="1">
      <c r="A51" s="7" t="s">
        <v>222</v>
      </c>
      <c r="C51" s="135">
        <v>0</v>
      </c>
      <c r="D51" s="127">
        <f>ROUND(C51-Forudsætn.!B142+Budget!C107,0)</f>
        <v>0</v>
      </c>
      <c r="E51" s="127">
        <f>ROUND(D51-Forudsætn.!C142+Budget!E107,0)</f>
        <v>0</v>
      </c>
      <c r="F51" s="127">
        <f>ROUND(E51-Forudsætn.!D142+Budget!G107,0)</f>
        <v>0</v>
      </c>
    </row>
    <row r="52" spans="1:6" s="15" customFormat="1" hidden="1">
      <c r="A52" s="7" t="s">
        <v>223</v>
      </c>
      <c r="C52" s="135">
        <v>0</v>
      </c>
      <c r="D52" s="127">
        <f>ROUND(C52-Forudsætn.!B155+Budget!C108,0)</f>
        <v>0</v>
      </c>
      <c r="E52" s="127">
        <f>ROUND(D52-Forudsætn.!C155+Budget!E108,0)</f>
        <v>0</v>
      </c>
      <c r="F52" s="127">
        <f>ROUND(E52-Forudsætn.!D155+Budget!G108,0)</f>
        <v>0</v>
      </c>
    </row>
    <row r="53" spans="1:6" s="15" customFormat="1" hidden="1">
      <c r="A53" s="8" t="s">
        <v>224</v>
      </c>
      <c r="C53" s="135">
        <v>0</v>
      </c>
      <c r="D53" s="127">
        <f>ROUND(C53-Forudsætn.!B167+Budget!C109,0)</f>
        <v>0</v>
      </c>
      <c r="E53" s="127">
        <f>ROUND(D53-Forudsætn.!C167+Budget!E109,0)</f>
        <v>0</v>
      </c>
      <c r="F53" s="127">
        <f>ROUND(E53-Forudsætn.!D167+Budget!G109,0)</f>
        <v>0</v>
      </c>
    </row>
    <row r="54" spans="1:6" s="15" customFormat="1" hidden="1">
      <c r="A54" s="8" t="s">
        <v>225</v>
      </c>
      <c r="C54" s="135">
        <v>0</v>
      </c>
      <c r="D54" s="127">
        <f>ROUND(C54-Forudsætn.!B179+Budget!C110,0)</f>
        <v>0</v>
      </c>
      <c r="E54" s="127">
        <f>ROUND(D54-Forudsætn.!C179+Budget!E110,0)</f>
        <v>0</v>
      </c>
      <c r="F54" s="127">
        <f>ROUND(E54-Forudsætn.!D179+Budget!G110,0)</f>
        <v>0</v>
      </c>
    </row>
    <row r="55" spans="1:6" ht="21" hidden="1" customHeight="1">
      <c r="A55" s="10" t="s">
        <v>15</v>
      </c>
      <c r="C55" s="128">
        <f>ROUND(SUM(C49:C54),0)</f>
        <v>0</v>
      </c>
      <c r="D55" s="128">
        <f>ROUND(SUM(D49:D54),0)</f>
        <v>0</v>
      </c>
      <c r="E55" s="128">
        <f>ROUND(SUM(E49:E54),0)</f>
        <v>0</v>
      </c>
      <c r="F55" s="128">
        <f>ROUND(SUM(F49:F54),0)</f>
        <v>0</v>
      </c>
    </row>
    <row r="56" spans="1:6" hidden="1">
      <c r="A56" s="7"/>
      <c r="C56" s="131"/>
      <c r="D56" s="130"/>
      <c r="E56" s="130"/>
      <c r="F56" s="130"/>
    </row>
    <row r="57" spans="1:6" hidden="1">
      <c r="A57" s="7" t="s">
        <v>16</v>
      </c>
      <c r="C57" s="131">
        <v>0</v>
      </c>
      <c r="D57" s="126">
        <f>-ROUND(IF(Forudsætn.!$E$10="X",IF(Beholdningsforskydn.!B31&lt;0,Beholdningsforskydn.!B31,0),IF(Forudsætn.!$E$11="X",IF('Ind- og udbet.'!B38&lt;0,'Ind- og udbet.'!B38,0),0)),0)</f>
        <v>0</v>
      </c>
      <c r="E57" s="126">
        <f>-ROUND(IF(Forudsætn.!$E$10="X",IF(Beholdningsforskydn.!C31&lt;0,Beholdningsforskydn.!C31,0),IF(Forudsætn.!$E$11="X",IF('Ind- og udbet.'!C38&lt;0,'Ind- og udbet.'!C38,0),0)),0)</f>
        <v>0</v>
      </c>
      <c r="F57" s="126">
        <f>-ROUND(IF(Forudsætn.!$E$10="X",IF(Beholdningsforskydn.!D31&lt;0,Beholdningsforskydn.!D31,0),IF(Forudsætn.!$E$11="X",IF('Ind- og udbet.'!D38&lt;0,'Ind- og udbet.'!D38,0),0)),0)</f>
        <v>0</v>
      </c>
    </row>
    <row r="58" spans="1:6" hidden="1">
      <c r="A58" s="7" t="s">
        <v>41</v>
      </c>
      <c r="C58" s="131">
        <v>0</v>
      </c>
      <c r="D58" s="130">
        <f>+Forudsætn.!B278</f>
        <v>0</v>
      </c>
      <c r="E58" s="130">
        <f>+Forudsætn.!C278</f>
        <v>0</v>
      </c>
      <c r="F58" s="130">
        <f>+Forudsætn.!D278</f>
        <v>0</v>
      </c>
    </row>
    <row r="59" spans="1:6" hidden="1">
      <c r="A59" s="7" t="s">
        <v>17</v>
      </c>
      <c r="C59" s="131">
        <v>0</v>
      </c>
      <c r="D59" s="127">
        <f>ROUND(C59-Resultat!C27+IF(Forudsætn.!$E$10="x",Beholdningsforskydn.!B12,IF(Forudsætn.!$E$11="X",-'Ind- og udbet.'!B28,0)),0)</f>
        <v>0</v>
      </c>
      <c r="E59" s="127">
        <f>ROUND(D59-Resultat!D27+IF(Forudsætn.!$E$10="x",Beholdningsforskydn.!C12,IF(Forudsætn.!$E$11="X",-'Ind- og udbet.'!C28,0)),0)</f>
        <v>0</v>
      </c>
      <c r="F59" s="127">
        <f>ROUND(E59-Resultat!E27+IF(Forudsætn.!$E$10="x",Beholdningsforskydn.!D12,IF(Forudsætn.!$E$11="X",-'Ind- og udbet.'!D28,0)),0)</f>
        <v>0</v>
      </c>
    </row>
    <row r="60" spans="1:6" hidden="1">
      <c r="A60" s="7" t="s">
        <v>19</v>
      </c>
      <c r="C60" s="131">
        <v>0</v>
      </c>
      <c r="D60" s="23">
        <f>+C60+Budget!C32</f>
        <v>0</v>
      </c>
      <c r="E60" s="23">
        <f>+D60+Budget!E32</f>
        <v>0</v>
      </c>
      <c r="F60" s="23">
        <f>+E60+Budget!G32</f>
        <v>0</v>
      </c>
    </row>
    <row r="61" spans="1:6" hidden="1">
      <c r="A61" s="7" t="s">
        <v>139</v>
      </c>
      <c r="C61" s="131">
        <v>0</v>
      </c>
      <c r="D61" s="23">
        <f>+Forudsætn.!B298</f>
        <v>0</v>
      </c>
      <c r="E61" s="23">
        <f>+Forudsætn.!C298</f>
        <v>0</v>
      </c>
      <c r="F61" s="23">
        <f>+Forudsætn.!D298</f>
        <v>0</v>
      </c>
    </row>
    <row r="62" spans="1:6" hidden="1">
      <c r="A62" s="7" t="s">
        <v>138</v>
      </c>
      <c r="C62" s="131">
        <v>0</v>
      </c>
      <c r="D62" s="23">
        <f>+Forudsætn.!B308</f>
        <v>0</v>
      </c>
      <c r="E62" s="23">
        <f>+Forudsætn.!C308</f>
        <v>0</v>
      </c>
      <c r="F62" s="23">
        <f>+Forudsætn.!D308</f>
        <v>0</v>
      </c>
    </row>
    <row r="63" spans="1:6" hidden="1">
      <c r="A63" s="7" t="s">
        <v>186</v>
      </c>
      <c r="C63" s="134">
        <v>0</v>
      </c>
      <c r="D63" s="97">
        <f>+C63</f>
        <v>0</v>
      </c>
      <c r="E63" s="97">
        <f>+D63</f>
        <v>0</v>
      </c>
      <c r="F63" s="97">
        <f>+E63</f>
        <v>0</v>
      </c>
    </row>
    <row r="64" spans="1:6" hidden="1">
      <c r="A64" s="7" t="s">
        <v>18</v>
      </c>
      <c r="C64" s="131">
        <v>0</v>
      </c>
      <c r="D64" s="127">
        <f>+Forudsætn.!B206</f>
        <v>0</v>
      </c>
      <c r="E64" s="127">
        <f>+Forudsætn.!C206</f>
        <v>0</v>
      </c>
      <c r="F64" s="127">
        <f>+Forudsætn.!D206</f>
        <v>0</v>
      </c>
    </row>
    <row r="65" spans="1:6">
      <c r="A65" s="7" t="s">
        <v>186</v>
      </c>
      <c r="C65" s="131">
        <v>0</v>
      </c>
      <c r="D65" s="97">
        <v>0</v>
      </c>
      <c r="E65" s="205">
        <f>+D65</f>
        <v>0</v>
      </c>
      <c r="F65" s="205">
        <f>+E65</f>
        <v>0</v>
      </c>
    </row>
    <row r="66" spans="1:6" hidden="1">
      <c r="A66" s="7" t="s">
        <v>20</v>
      </c>
      <c r="C66" s="131">
        <v>0</v>
      </c>
      <c r="D66" s="97">
        <f>C66</f>
        <v>0</v>
      </c>
      <c r="E66" s="97">
        <f>D66</f>
        <v>0</v>
      </c>
      <c r="F66" s="97">
        <f>E66</f>
        <v>0</v>
      </c>
    </row>
    <row r="67" spans="1:6" ht="21" customHeight="1">
      <c r="A67" s="10" t="s">
        <v>21</v>
      </c>
      <c r="C67" s="128">
        <f>ROUND(SUM(C57:C66),0)</f>
        <v>0</v>
      </c>
      <c r="D67" s="128">
        <f>ROUND(SUM(D57:D66),0)</f>
        <v>0</v>
      </c>
      <c r="E67" s="128">
        <f>ROUND(SUM(E57:E66),0)</f>
        <v>0</v>
      </c>
      <c r="F67" s="128">
        <f>ROUND(SUM(F57:F66),0)</f>
        <v>0</v>
      </c>
    </row>
    <row r="68" spans="1:6">
      <c r="A68" s="10"/>
      <c r="C68" s="131"/>
      <c r="D68" s="130"/>
      <c r="E68" s="130"/>
      <c r="F68" s="130"/>
    </row>
    <row r="69" spans="1:6" ht="21" customHeight="1">
      <c r="A69" s="10" t="s">
        <v>22</v>
      </c>
      <c r="C69" s="128">
        <f>ROUND(C67+C55,0)</f>
        <v>0</v>
      </c>
      <c r="D69" s="128">
        <f>ROUND(D67+D55,0)</f>
        <v>0</v>
      </c>
      <c r="E69" s="128">
        <f>ROUND(E67+E55,0)</f>
        <v>0</v>
      </c>
      <c r="F69" s="128">
        <f>ROUND(F67+F55,0)</f>
        <v>0</v>
      </c>
    </row>
    <row r="70" spans="1:6">
      <c r="A70" s="10"/>
      <c r="C70" s="131"/>
      <c r="D70" s="130"/>
      <c r="E70" s="130"/>
      <c r="F70" s="130"/>
    </row>
    <row r="71" spans="1:6" ht="21" customHeight="1">
      <c r="A71" s="10" t="s">
        <v>23</v>
      </c>
      <c r="C71" s="128">
        <f>C45+C48+C69</f>
        <v>184579</v>
      </c>
      <c r="D71" s="129">
        <f>D45+D48+D69</f>
        <v>166229</v>
      </c>
      <c r="E71" s="129">
        <f>E45+E48+E69</f>
        <v>184779</v>
      </c>
      <c r="F71" s="129">
        <f>F45+F48+F69</f>
        <v>205229</v>
      </c>
    </row>
    <row r="72" spans="1:6">
      <c r="A72" s="7"/>
      <c r="C72" s="20"/>
      <c r="D72" s="7"/>
      <c r="E72" s="7"/>
      <c r="F72" s="7"/>
    </row>
    <row r="73" spans="1:6">
      <c r="A73" s="7"/>
      <c r="C73" s="20"/>
      <c r="D73" s="7"/>
      <c r="E73" s="7"/>
      <c r="F73" s="7"/>
    </row>
    <row r="74" spans="1:6">
      <c r="A74" s="7"/>
      <c r="C74" s="20"/>
      <c r="D74" s="7"/>
      <c r="E74" s="7"/>
      <c r="F74" s="7"/>
    </row>
    <row r="75" spans="1:6">
      <c r="A75" s="7" t="s">
        <v>24</v>
      </c>
      <c r="C75" s="20">
        <f>C32-C71</f>
        <v>0</v>
      </c>
      <c r="D75" s="7">
        <f>D32-D71</f>
        <v>0</v>
      </c>
      <c r="E75" s="7">
        <f>E32-E71</f>
        <v>0</v>
      </c>
      <c r="F75" s="7">
        <f>F32-F71</f>
        <v>0</v>
      </c>
    </row>
    <row r="76" spans="1:6">
      <c r="D76" s="7">
        <f>SUM(C75:F75)</f>
        <v>0</v>
      </c>
    </row>
  </sheetData>
  <phoneticPr fontId="24" type="noConversion"/>
  <pageMargins left="0.78740157480314965" right="0.78740157480314965" top="1.1811023622047245" bottom="0.78740157480314965" header="0.47244094488188981" footer="0.47244094488188981"/>
  <pageSetup paperSize="9" firstPageNumber="8" orientation="portrait" horizontalDpi="4294967292" verticalDpi="300"/>
  <headerFooter alignWithMargins="0">
    <oddFooter xml:space="preserve">&amp;C
</oddFooter>
  </headerFooter>
  <rowBreaks count="1" manualBreakCount="1">
    <brk id="35" max="14" man="1"/>
  </rowBreaks>
  <ignoredErrors>
    <ignoredError sqref="E43:F43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 enableFormatConditionsCalculation="0">
    <pageSetUpPr fitToPage="1"/>
  </sheetPr>
  <dimension ref="A2:V266"/>
  <sheetViews>
    <sheetView tabSelected="1" zoomScale="90" zoomScaleNormal="90" zoomScalePageLayoutView="90" workbookViewId="0">
      <selection activeCell="Q62" sqref="Q62"/>
    </sheetView>
  </sheetViews>
  <sheetFormatPr baseColWidth="10" defaultColWidth="8.6640625" defaultRowHeight="13" x14ac:dyDescent="0"/>
  <cols>
    <col min="1" max="2" width="21.1640625" style="104" customWidth="1"/>
    <col min="3" max="3" width="13" style="104" customWidth="1"/>
    <col min="4" max="4" width="21.6640625" style="104" customWidth="1"/>
    <col min="5" max="5" width="14.1640625" style="104" customWidth="1"/>
    <col min="6" max="6" width="22.5" style="104" customWidth="1"/>
    <col min="7" max="7" width="12.1640625" style="104" customWidth="1"/>
    <col min="8" max="8" width="8.6640625" style="104" hidden="1" customWidth="1"/>
    <col min="9" max="9" width="21.6640625" style="104" customWidth="1"/>
    <col min="10" max="10" width="12.1640625" style="104" customWidth="1"/>
    <col min="11" max="11" width="16.1640625" style="104" bestFit="1" customWidth="1"/>
    <col min="12" max="12" width="12.1640625" style="104" customWidth="1"/>
    <col min="13" max="13" width="5.83203125" style="105" customWidth="1"/>
    <col min="14" max="14" width="8.6640625" style="87" customWidth="1"/>
    <col min="15" max="16" width="8.6640625" style="104"/>
    <col min="17" max="17" width="8.6640625" style="104" customWidth="1"/>
    <col min="18" max="16384" width="8.6640625" style="104"/>
  </cols>
  <sheetData>
    <row r="2" spans="1:22" ht="16">
      <c r="A2" s="103" t="s">
        <v>277</v>
      </c>
      <c r="B2" s="103"/>
    </row>
    <row r="3" spans="1:22">
      <c r="C3" s="107"/>
      <c r="D3" s="107"/>
      <c r="E3" s="107"/>
      <c r="F3" s="107"/>
      <c r="G3" s="107"/>
    </row>
    <row r="4" spans="1:22" s="105" customFormat="1">
      <c r="B4" s="105" t="s">
        <v>300</v>
      </c>
      <c r="C4" s="106" t="s">
        <v>311</v>
      </c>
      <c r="D4" s="105" t="s">
        <v>310</v>
      </c>
      <c r="E4" s="106" t="s">
        <v>312</v>
      </c>
      <c r="F4" s="105" t="s">
        <v>315</v>
      </c>
      <c r="G4" s="106" t="s">
        <v>313</v>
      </c>
      <c r="H4" s="106" t="s">
        <v>1</v>
      </c>
      <c r="I4" s="106" t="s">
        <v>317</v>
      </c>
      <c r="J4" s="106" t="s">
        <v>314</v>
      </c>
      <c r="K4" s="106" t="s">
        <v>323</v>
      </c>
      <c r="L4" s="106" t="s">
        <v>324</v>
      </c>
      <c r="M4" s="106"/>
      <c r="N4" s="87" t="s">
        <v>30</v>
      </c>
      <c r="Q4" s="105" t="s">
        <v>278</v>
      </c>
      <c r="R4" s="105">
        <v>2013</v>
      </c>
      <c r="S4" s="105">
        <v>2014</v>
      </c>
      <c r="T4" s="105">
        <v>2015</v>
      </c>
      <c r="U4" s="105">
        <v>2016</v>
      </c>
      <c r="V4" s="105">
        <v>2017</v>
      </c>
    </row>
    <row r="5" spans="1:22" s="105" customFormat="1"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6"/>
      <c r="N5" s="87"/>
    </row>
    <row r="6" spans="1:22" s="105" customFormat="1">
      <c r="A6" s="89"/>
      <c r="B6" s="89"/>
      <c r="C6" s="88"/>
      <c r="D6" s="88"/>
      <c r="E6" s="88"/>
      <c r="F6" s="88"/>
      <c r="G6" s="88"/>
      <c r="H6" s="107"/>
      <c r="I6" s="107"/>
      <c r="J6" s="107"/>
      <c r="K6" s="107"/>
      <c r="L6" s="107"/>
      <c r="M6" s="90">
        <v>1</v>
      </c>
      <c r="N6" s="87"/>
    </row>
    <row r="7" spans="1:22" s="105" customFormat="1">
      <c r="A7" s="35" t="s">
        <v>301</v>
      </c>
      <c r="B7" s="35">
        <v>23</v>
      </c>
      <c r="C7" s="203">
        <f>23*$R$7</f>
        <v>25300</v>
      </c>
      <c r="D7" s="203">
        <v>23</v>
      </c>
      <c r="E7" s="203">
        <f>23*$S$7</f>
        <v>31050</v>
      </c>
      <c r="F7" s="203">
        <v>23</v>
      </c>
      <c r="G7" s="203">
        <f>23*$T$7</f>
        <v>32200</v>
      </c>
      <c r="H7" s="203">
        <f>23*1000</f>
        <v>23000</v>
      </c>
      <c r="I7" s="212">
        <v>23</v>
      </c>
      <c r="J7" s="212">
        <f>I7*U7</f>
        <v>33350</v>
      </c>
      <c r="K7" s="212">
        <v>23</v>
      </c>
      <c r="L7" s="212">
        <f>K7*V7</f>
        <v>33350</v>
      </c>
      <c r="M7" s="87"/>
      <c r="N7" s="87"/>
      <c r="P7" s="35"/>
      <c r="R7" s="105">
        <v>1100</v>
      </c>
      <c r="S7" s="105">
        <v>1350</v>
      </c>
      <c r="T7" s="105">
        <v>1400</v>
      </c>
      <c r="U7" s="105">
        <v>1450</v>
      </c>
      <c r="V7" s="105">
        <v>1450</v>
      </c>
    </row>
    <row r="8" spans="1:22" s="105" customFormat="1">
      <c r="A8" s="35" t="s">
        <v>302</v>
      </c>
      <c r="B8" s="35">
        <v>32</v>
      </c>
      <c r="C8" s="203">
        <f>32*$R$7</f>
        <v>35200</v>
      </c>
      <c r="D8" s="203">
        <v>32</v>
      </c>
      <c r="E8" s="203">
        <f>32*$S$7</f>
        <v>43200</v>
      </c>
      <c r="F8" s="203">
        <v>32</v>
      </c>
      <c r="G8" s="203">
        <f>32*$T$7</f>
        <v>44800</v>
      </c>
      <c r="H8" s="108">
        <f t="shared" ref="H8:H15" si="0">ROUND(SUM(C8:G8),0)</f>
        <v>123264</v>
      </c>
      <c r="I8" s="213">
        <v>32</v>
      </c>
      <c r="J8" s="213">
        <f>I8*U7</f>
        <v>46400</v>
      </c>
      <c r="K8" s="213">
        <v>32</v>
      </c>
      <c r="L8" s="212">
        <f>K8*V7</f>
        <v>46400</v>
      </c>
      <c r="M8" s="87"/>
      <c r="N8" s="87"/>
      <c r="P8" s="35"/>
    </row>
    <row r="9" spans="1:22" s="105" customFormat="1">
      <c r="A9" s="35" t="s">
        <v>303</v>
      </c>
      <c r="B9" s="35">
        <v>32</v>
      </c>
      <c r="C9" s="203">
        <f>32*$R$7</f>
        <v>35200</v>
      </c>
      <c r="D9" s="203">
        <v>32</v>
      </c>
      <c r="E9" s="203">
        <f>32*$S$7</f>
        <v>43200</v>
      </c>
      <c r="F9" s="203">
        <v>32</v>
      </c>
      <c r="G9" s="203">
        <f>32*$T$7</f>
        <v>44800</v>
      </c>
      <c r="H9" s="108">
        <f t="shared" si="0"/>
        <v>123264</v>
      </c>
      <c r="I9" s="213">
        <v>32</v>
      </c>
      <c r="J9" s="213">
        <f>I9*U7</f>
        <v>46400</v>
      </c>
      <c r="K9" s="213">
        <v>32</v>
      </c>
      <c r="L9" s="212">
        <f>K9*V7</f>
        <v>46400</v>
      </c>
      <c r="M9" s="87"/>
      <c r="N9" s="87"/>
      <c r="P9" s="35"/>
    </row>
    <row r="10" spans="1:22" s="105" customFormat="1">
      <c r="A10" s="35" t="s">
        <v>304</v>
      </c>
      <c r="B10" s="35">
        <v>29</v>
      </c>
      <c r="C10" s="203">
        <f>B10*R7</f>
        <v>31900</v>
      </c>
      <c r="D10" s="203">
        <v>29</v>
      </c>
      <c r="E10" s="203">
        <f>D10*S7</f>
        <v>39150</v>
      </c>
      <c r="F10" s="203">
        <v>29</v>
      </c>
      <c r="G10" s="203">
        <f>F10*T7</f>
        <v>40600</v>
      </c>
      <c r="H10" s="108">
        <f t="shared" si="0"/>
        <v>111708</v>
      </c>
      <c r="I10" s="213">
        <v>29</v>
      </c>
      <c r="J10" s="213">
        <f>I10*U7</f>
        <v>42050</v>
      </c>
      <c r="K10" s="213">
        <v>29</v>
      </c>
      <c r="L10" s="212">
        <f>K10*V7</f>
        <v>42050</v>
      </c>
      <c r="M10" s="87"/>
      <c r="N10" s="87"/>
      <c r="P10" s="35"/>
    </row>
    <row r="11" spans="1:22" s="105" customFormat="1">
      <c r="A11" s="35" t="s">
        <v>305</v>
      </c>
      <c r="B11" s="35">
        <v>25</v>
      </c>
      <c r="C11" s="203">
        <f>B11*R7</f>
        <v>27500</v>
      </c>
      <c r="D11" s="203">
        <v>26</v>
      </c>
      <c r="E11" s="203">
        <f>D11*S7</f>
        <v>35100</v>
      </c>
      <c r="F11" s="203">
        <v>27</v>
      </c>
      <c r="G11" s="203">
        <f>F11*T7</f>
        <v>37800</v>
      </c>
      <c r="H11" s="108">
        <f t="shared" si="0"/>
        <v>100453</v>
      </c>
      <c r="I11" s="213">
        <v>28</v>
      </c>
      <c r="J11" s="213">
        <f>I11*U7</f>
        <v>40600</v>
      </c>
      <c r="K11" s="213">
        <v>28</v>
      </c>
      <c r="L11" s="212">
        <f>K11*V7</f>
        <v>40600</v>
      </c>
      <c r="M11" s="87"/>
      <c r="N11" s="87"/>
      <c r="P11" s="35"/>
    </row>
    <row r="12" spans="1:22" s="105" customFormat="1">
      <c r="A12" s="35" t="s">
        <v>306</v>
      </c>
      <c r="B12" s="35">
        <v>16</v>
      </c>
      <c r="C12" s="203">
        <f>16*$R$7</f>
        <v>17600</v>
      </c>
      <c r="D12" s="203">
        <v>16</v>
      </c>
      <c r="E12" s="203">
        <f>16*$S$7</f>
        <v>21600</v>
      </c>
      <c r="F12" s="203">
        <v>16</v>
      </c>
      <c r="G12" s="203">
        <f>F12*T7</f>
        <v>22400</v>
      </c>
      <c r="H12" s="108">
        <f t="shared" si="0"/>
        <v>61632</v>
      </c>
      <c r="I12" s="213">
        <v>16</v>
      </c>
      <c r="J12" s="213">
        <f>I12*U7</f>
        <v>23200</v>
      </c>
      <c r="K12" s="213">
        <v>16</v>
      </c>
      <c r="L12" s="212">
        <f>K12*V7</f>
        <v>23200</v>
      </c>
      <c r="M12" s="87"/>
      <c r="N12" s="87"/>
      <c r="P12" s="35"/>
    </row>
    <row r="13" spans="1:22" s="105" customFormat="1">
      <c r="A13" s="35" t="s">
        <v>307</v>
      </c>
      <c r="B13" s="35">
        <v>24</v>
      </c>
      <c r="C13" s="203">
        <f>24*$R$7</f>
        <v>26400</v>
      </c>
      <c r="D13" s="203">
        <v>24</v>
      </c>
      <c r="E13" s="203">
        <f>24*$S$7</f>
        <v>32400</v>
      </c>
      <c r="F13" s="203">
        <v>24</v>
      </c>
      <c r="G13" s="203">
        <f>24*$T$7</f>
        <v>33600</v>
      </c>
      <c r="H13" s="108">
        <f t="shared" si="0"/>
        <v>92448</v>
      </c>
      <c r="I13" s="213">
        <v>24</v>
      </c>
      <c r="J13" s="213">
        <f>I13*U7</f>
        <v>34800</v>
      </c>
      <c r="K13" s="213">
        <v>24</v>
      </c>
      <c r="L13" s="212">
        <f>K13*V7</f>
        <v>34800</v>
      </c>
      <c r="M13" s="87"/>
      <c r="N13" s="87"/>
      <c r="P13" s="35"/>
    </row>
    <row r="14" spans="1:22" s="105" customFormat="1">
      <c r="A14" s="35" t="s">
        <v>308</v>
      </c>
      <c r="B14" s="35">
        <v>34</v>
      </c>
      <c r="C14" s="203">
        <f>B14*R7</f>
        <v>37400</v>
      </c>
      <c r="D14" s="203">
        <v>34</v>
      </c>
      <c r="E14" s="203">
        <f>D14*S7</f>
        <v>45900</v>
      </c>
      <c r="F14" s="203">
        <v>35</v>
      </c>
      <c r="G14" s="203">
        <f>F14*S7</f>
        <v>47250</v>
      </c>
      <c r="H14" s="108">
        <f t="shared" si="0"/>
        <v>130619</v>
      </c>
      <c r="I14" s="213">
        <v>36</v>
      </c>
      <c r="J14" s="213">
        <f>I14*U7</f>
        <v>52200</v>
      </c>
      <c r="K14" s="213">
        <v>36</v>
      </c>
      <c r="L14" s="212">
        <f>K14*V7</f>
        <v>52200</v>
      </c>
      <c r="M14" s="87"/>
      <c r="N14" s="87"/>
      <c r="P14" s="35"/>
    </row>
    <row r="15" spans="1:22" s="105" customFormat="1">
      <c r="A15" s="35" t="s">
        <v>309</v>
      </c>
      <c r="B15" s="35">
        <v>4</v>
      </c>
      <c r="C15" s="203">
        <f>4*$R$7</f>
        <v>4400</v>
      </c>
      <c r="D15" s="203">
        <v>7</v>
      </c>
      <c r="E15" s="203">
        <f>D15*S7</f>
        <v>9450</v>
      </c>
      <c r="F15" s="203">
        <v>10</v>
      </c>
      <c r="G15" s="203">
        <f>F15*T7</f>
        <v>14000</v>
      </c>
      <c r="H15" s="108">
        <f t="shared" si="0"/>
        <v>27867</v>
      </c>
      <c r="I15" s="213">
        <v>14</v>
      </c>
      <c r="J15" s="213">
        <f>I15*U7</f>
        <v>20300</v>
      </c>
      <c r="K15" s="213">
        <v>16</v>
      </c>
      <c r="L15" s="212">
        <f>K15*V7</f>
        <v>23200</v>
      </c>
      <c r="M15" s="87"/>
      <c r="N15" s="87"/>
      <c r="P15" s="35"/>
    </row>
    <row r="16" spans="1:22" s="105" customFormat="1" ht="15.5" customHeight="1">
      <c r="A16" s="223" t="s">
        <v>1</v>
      </c>
      <c r="B16" s="224">
        <f>SUM(B7:B15)</f>
        <v>219</v>
      </c>
      <c r="C16" s="225">
        <f>ROUND(SUM(C7:C15),0)</f>
        <v>240900</v>
      </c>
      <c r="D16" s="225">
        <f>SUM(D7:D15)</f>
        <v>223</v>
      </c>
      <c r="E16" s="225">
        <f>ROUND(SUM(E7:E15),0)</f>
        <v>301050</v>
      </c>
      <c r="F16" s="225">
        <f>SUM(F7:F15)</f>
        <v>228</v>
      </c>
      <c r="G16" s="225">
        <f>ROUND(SUM(G7:G15),0)</f>
        <v>317450</v>
      </c>
      <c r="H16" s="225">
        <f>ROUND(SUM(H7:H14),0)</f>
        <v>766388</v>
      </c>
      <c r="I16" s="225">
        <f>SUM(I7:I15)</f>
        <v>234</v>
      </c>
      <c r="J16" s="226">
        <f>SUM(J7:J15)</f>
        <v>339300</v>
      </c>
      <c r="K16" s="225">
        <f>SUM(K7:K15)</f>
        <v>236</v>
      </c>
      <c r="L16" s="226">
        <f>SUM(L7:L15)</f>
        <v>342200</v>
      </c>
      <c r="M16" s="87"/>
      <c r="N16" s="87"/>
    </row>
    <row r="17" spans="1:14" s="105" customFormat="1" ht="15.5" customHeight="1" thickBot="1">
      <c r="A17" s="227" t="s">
        <v>320</v>
      </c>
      <c r="B17" s="228"/>
      <c r="C17" s="229">
        <f>40*B16</f>
        <v>8760</v>
      </c>
      <c r="D17" s="229"/>
      <c r="E17" s="229">
        <f>40*D16</f>
        <v>8920</v>
      </c>
      <c r="F17" s="229"/>
      <c r="G17" s="229">
        <f>40*F16</f>
        <v>9120</v>
      </c>
      <c r="H17" s="229"/>
      <c r="I17" s="229"/>
      <c r="J17" s="230">
        <f>40*I16</f>
        <v>9360</v>
      </c>
      <c r="K17" s="229"/>
      <c r="L17" s="230">
        <f>40*K16</f>
        <v>9440</v>
      </c>
      <c r="M17" s="87"/>
      <c r="N17" s="87"/>
    </row>
    <row r="18" spans="1:14" s="105" customFormat="1" ht="14" thickBot="1">
      <c r="A18" s="218" t="s">
        <v>321</v>
      </c>
      <c r="B18" s="219"/>
      <c r="C18" s="216">
        <f>C16-C17</f>
        <v>232140</v>
      </c>
      <c r="D18" s="216"/>
      <c r="E18" s="216">
        <f>E16-E17</f>
        <v>292130</v>
      </c>
      <c r="F18" s="216"/>
      <c r="G18" s="216">
        <f>G16-G17</f>
        <v>308330</v>
      </c>
      <c r="H18" s="216"/>
      <c r="I18" s="216"/>
      <c r="J18" s="217">
        <f>J16-J17</f>
        <v>329940</v>
      </c>
      <c r="K18" s="216"/>
      <c r="L18" s="217">
        <f>L16-L17</f>
        <v>332760</v>
      </c>
      <c r="M18" s="87"/>
      <c r="N18" s="87"/>
    </row>
    <row r="19" spans="1:14" s="105" customFormat="1" hidden="1">
      <c r="A19" s="89"/>
      <c r="B19" s="89"/>
      <c r="C19" s="91"/>
      <c r="D19" s="91"/>
      <c r="E19" s="91"/>
      <c r="F19" s="91"/>
      <c r="G19" s="91"/>
      <c r="H19" s="110"/>
      <c r="I19" s="110"/>
      <c r="J19" s="110"/>
      <c r="K19" s="110"/>
      <c r="L19" s="110"/>
      <c r="M19" s="90">
        <v>2</v>
      </c>
      <c r="N19" s="87"/>
    </row>
    <row r="20" spans="1:14" s="105" customFormat="1" hidden="1">
      <c r="A20" s="35" t="s">
        <v>201</v>
      </c>
      <c r="B20" s="35"/>
      <c r="C20" s="91">
        <v>0</v>
      </c>
      <c r="D20" s="91"/>
      <c r="E20" s="91">
        <v>0</v>
      </c>
      <c r="F20" s="91"/>
      <c r="G20" s="91">
        <v>0</v>
      </c>
      <c r="H20" s="108">
        <f t="shared" ref="H20:H26" si="1">ROUND(SUM(C20:G20),0)</f>
        <v>0</v>
      </c>
      <c r="I20" s="108"/>
      <c r="J20" s="108"/>
      <c r="K20" s="108"/>
      <c r="L20" s="108"/>
      <c r="M20" s="87"/>
      <c r="N20" s="87"/>
    </row>
    <row r="21" spans="1:14" s="105" customFormat="1" hidden="1">
      <c r="A21" s="35" t="s">
        <v>204</v>
      </c>
      <c r="B21" s="35"/>
      <c r="C21" s="91">
        <v>0</v>
      </c>
      <c r="D21" s="91"/>
      <c r="E21" s="91">
        <v>0</v>
      </c>
      <c r="F21" s="91"/>
      <c r="G21" s="91">
        <v>0</v>
      </c>
      <c r="H21" s="108">
        <f t="shared" si="1"/>
        <v>0</v>
      </c>
      <c r="I21" s="108"/>
      <c r="J21" s="108"/>
      <c r="K21" s="108"/>
      <c r="L21" s="108"/>
      <c r="M21" s="87"/>
      <c r="N21" s="87"/>
    </row>
    <row r="22" spans="1:14" s="105" customFormat="1" hidden="1">
      <c r="A22" s="35" t="s">
        <v>202</v>
      </c>
      <c r="B22" s="35"/>
      <c r="C22" s="91">
        <v>0</v>
      </c>
      <c r="D22" s="91"/>
      <c r="E22" s="91">
        <v>0</v>
      </c>
      <c r="F22" s="91"/>
      <c r="G22" s="91">
        <v>0</v>
      </c>
      <c r="H22" s="108">
        <f t="shared" si="1"/>
        <v>0</v>
      </c>
      <c r="I22" s="108"/>
      <c r="J22" s="108"/>
      <c r="K22" s="108"/>
      <c r="L22" s="108"/>
      <c r="M22" s="87"/>
      <c r="N22" s="87"/>
    </row>
    <row r="23" spans="1:14" s="105" customFormat="1" hidden="1">
      <c r="A23" s="35" t="s">
        <v>205</v>
      </c>
      <c r="B23" s="35"/>
      <c r="C23" s="91">
        <v>0</v>
      </c>
      <c r="D23" s="91"/>
      <c r="E23" s="91">
        <v>0</v>
      </c>
      <c r="F23" s="91"/>
      <c r="G23" s="91">
        <v>0</v>
      </c>
      <c r="H23" s="108">
        <f t="shared" si="1"/>
        <v>0</v>
      </c>
      <c r="I23" s="108"/>
      <c r="J23" s="108"/>
      <c r="K23" s="108"/>
      <c r="L23" s="108"/>
      <c r="M23" s="87"/>
      <c r="N23" s="87"/>
    </row>
    <row r="24" spans="1:14" s="105" customFormat="1" hidden="1">
      <c r="A24" s="35" t="s">
        <v>203</v>
      </c>
      <c r="B24" s="35"/>
      <c r="C24" s="91">
        <v>0</v>
      </c>
      <c r="D24" s="91"/>
      <c r="E24" s="91">
        <v>0</v>
      </c>
      <c r="F24" s="91"/>
      <c r="G24" s="91">
        <v>0</v>
      </c>
      <c r="H24" s="108">
        <f t="shared" si="1"/>
        <v>0</v>
      </c>
      <c r="I24" s="108"/>
      <c r="J24" s="108"/>
      <c r="K24" s="108"/>
      <c r="L24" s="108"/>
      <c r="M24" s="87"/>
      <c r="N24" s="87"/>
    </row>
    <row r="25" spans="1:14" s="105" customFormat="1" hidden="1">
      <c r="A25" s="35" t="s">
        <v>206</v>
      </c>
      <c r="B25" s="35"/>
      <c r="C25" s="91">
        <v>0</v>
      </c>
      <c r="D25" s="91"/>
      <c r="E25" s="91">
        <v>0</v>
      </c>
      <c r="F25" s="91"/>
      <c r="G25" s="91">
        <v>0</v>
      </c>
      <c r="H25" s="108">
        <f t="shared" si="1"/>
        <v>0</v>
      </c>
      <c r="I25" s="108"/>
      <c r="J25" s="108"/>
      <c r="K25" s="108"/>
      <c r="L25" s="108"/>
      <c r="M25" s="87"/>
      <c r="N25" s="87"/>
    </row>
    <row r="26" spans="1:14" s="105" customFormat="1" hidden="1">
      <c r="A26" s="35" t="s">
        <v>60</v>
      </c>
      <c r="B26" s="35"/>
      <c r="C26" s="91">
        <v>0</v>
      </c>
      <c r="D26" s="91"/>
      <c r="E26" s="91">
        <v>0</v>
      </c>
      <c r="F26" s="91"/>
      <c r="G26" s="91">
        <v>0</v>
      </c>
      <c r="H26" s="108">
        <f t="shared" si="1"/>
        <v>0</v>
      </c>
      <c r="I26" s="108"/>
      <c r="J26" s="108"/>
      <c r="K26" s="108"/>
      <c r="L26" s="108"/>
      <c r="M26" s="87"/>
      <c r="N26" s="87"/>
    </row>
    <row r="27" spans="1:14" s="105" customFormat="1" ht="15.5" hidden="1" customHeight="1">
      <c r="A27" s="104"/>
      <c r="B27" s="104"/>
      <c r="C27" s="109">
        <f>ROUND(SUM(C20:C26),0)</f>
        <v>0</v>
      </c>
      <c r="D27" s="109"/>
      <c r="E27" s="109">
        <f>ROUND(SUM(E20:E26),0)</f>
        <v>0</v>
      </c>
      <c r="F27" s="109"/>
      <c r="G27" s="109">
        <f>ROUND(SUM(G20:G26),0)</f>
        <v>0</v>
      </c>
      <c r="H27" s="109">
        <f>ROUND(SUM(H20:H26),0)</f>
        <v>0</v>
      </c>
      <c r="I27" s="109"/>
      <c r="J27" s="109"/>
      <c r="K27" s="109"/>
      <c r="L27" s="109"/>
      <c r="M27" s="87"/>
      <c r="N27" s="87"/>
    </row>
    <row r="28" spans="1:14" s="105" customFormat="1" hidden="1">
      <c r="A28" s="104"/>
      <c r="B28" s="104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87"/>
      <c r="N28" s="87"/>
    </row>
    <row r="29" spans="1:14" hidden="1">
      <c r="A29" s="89" t="s">
        <v>62</v>
      </c>
      <c r="B29" s="89"/>
      <c r="C29" s="92"/>
      <c r="D29" s="92"/>
      <c r="E29" s="92"/>
      <c r="F29" s="92"/>
      <c r="G29" s="92"/>
      <c r="H29" s="108"/>
      <c r="I29" s="108"/>
      <c r="J29" s="108"/>
      <c r="K29" s="108"/>
      <c r="L29" s="108"/>
      <c r="M29" s="89">
        <v>3</v>
      </c>
    </row>
    <row r="30" spans="1:14" ht="15.5" hidden="1" customHeight="1">
      <c r="A30" s="35" t="s">
        <v>143</v>
      </c>
      <c r="B30" s="35"/>
      <c r="C30" s="91">
        <v>0</v>
      </c>
      <c r="D30" s="91"/>
      <c r="E30" s="91">
        <v>0</v>
      </c>
      <c r="F30" s="91"/>
      <c r="G30" s="91">
        <v>0</v>
      </c>
      <c r="H30" s="23">
        <f t="shared" ref="H30:H38" si="2">ROUND(SUM(C30:G30),0)</f>
        <v>0</v>
      </c>
      <c r="I30" s="23"/>
      <c r="J30" s="23"/>
      <c r="K30" s="23"/>
      <c r="L30" s="23"/>
      <c r="M30" s="86"/>
    </row>
    <row r="31" spans="1:14" hidden="1">
      <c r="A31" s="35" t="s">
        <v>34</v>
      </c>
      <c r="B31" s="35"/>
      <c r="C31" s="91">
        <v>0</v>
      </c>
      <c r="D31" s="91"/>
      <c r="E31" s="91">
        <v>0</v>
      </c>
      <c r="F31" s="91"/>
      <c r="G31" s="91">
        <v>0</v>
      </c>
      <c r="H31" s="23">
        <f t="shared" si="2"/>
        <v>0</v>
      </c>
      <c r="I31" s="23"/>
      <c r="J31" s="23"/>
      <c r="K31" s="23"/>
      <c r="L31" s="23"/>
      <c r="M31" s="86"/>
    </row>
    <row r="32" spans="1:14" hidden="1">
      <c r="A32" s="35" t="s">
        <v>187</v>
      </c>
      <c r="B32" s="35"/>
      <c r="C32" s="91">
        <v>0</v>
      </c>
      <c r="D32" s="91"/>
      <c r="E32" s="91">
        <v>0</v>
      </c>
      <c r="F32" s="91"/>
      <c r="G32" s="91">
        <v>0</v>
      </c>
      <c r="H32" s="23">
        <f t="shared" si="2"/>
        <v>0</v>
      </c>
      <c r="I32" s="23"/>
      <c r="J32" s="23"/>
      <c r="K32" s="23"/>
      <c r="L32" s="23"/>
      <c r="M32" s="86"/>
    </row>
    <row r="33" spans="1:13" hidden="1">
      <c r="A33" s="35" t="s">
        <v>63</v>
      </c>
      <c r="B33" s="35"/>
      <c r="C33" s="91">
        <v>0</v>
      </c>
      <c r="D33" s="91"/>
      <c r="E33" s="91">
        <v>0</v>
      </c>
      <c r="F33" s="91"/>
      <c r="G33" s="91">
        <v>0</v>
      </c>
      <c r="H33" s="23">
        <f t="shared" si="2"/>
        <v>0</v>
      </c>
      <c r="I33" s="23"/>
      <c r="J33" s="23"/>
      <c r="K33" s="23"/>
      <c r="L33" s="23"/>
      <c r="M33" s="86"/>
    </row>
    <row r="34" spans="1:13" hidden="1">
      <c r="A34" s="35" t="s">
        <v>35</v>
      </c>
      <c r="B34" s="35"/>
      <c r="C34" s="91">
        <v>0</v>
      </c>
      <c r="D34" s="91"/>
      <c r="E34" s="91">
        <v>0</v>
      </c>
      <c r="F34" s="91"/>
      <c r="G34" s="91">
        <v>0</v>
      </c>
      <c r="H34" s="23">
        <f t="shared" si="2"/>
        <v>0</v>
      </c>
      <c r="I34" s="23"/>
      <c r="J34" s="23"/>
      <c r="K34" s="23"/>
      <c r="L34" s="23"/>
      <c r="M34" s="86"/>
    </row>
    <row r="35" spans="1:13" hidden="1">
      <c r="A35" s="35" t="s">
        <v>36</v>
      </c>
      <c r="B35" s="35"/>
      <c r="C35" s="91">
        <v>0</v>
      </c>
      <c r="D35" s="91"/>
      <c r="E35" s="91">
        <v>0</v>
      </c>
      <c r="F35" s="91"/>
      <c r="G35" s="91">
        <v>0</v>
      </c>
      <c r="H35" s="23">
        <f t="shared" si="2"/>
        <v>0</v>
      </c>
      <c r="I35" s="23"/>
      <c r="J35" s="23"/>
      <c r="K35" s="23"/>
      <c r="L35" s="23"/>
      <c r="M35" s="86"/>
    </row>
    <row r="36" spans="1:13" hidden="1">
      <c r="A36" s="35" t="s">
        <v>64</v>
      </c>
      <c r="B36" s="35"/>
      <c r="C36" s="91">
        <v>0</v>
      </c>
      <c r="D36" s="91"/>
      <c r="E36" s="91">
        <v>0</v>
      </c>
      <c r="F36" s="91"/>
      <c r="G36" s="91">
        <v>0</v>
      </c>
      <c r="H36" s="23">
        <f t="shared" si="2"/>
        <v>0</v>
      </c>
      <c r="I36" s="23"/>
      <c r="J36" s="23"/>
      <c r="K36" s="23"/>
      <c r="L36" s="23"/>
      <c r="M36" s="86"/>
    </row>
    <row r="37" spans="1:13" hidden="1">
      <c r="A37" s="35" t="s">
        <v>37</v>
      </c>
      <c r="B37" s="35"/>
      <c r="C37" s="91">
        <v>0</v>
      </c>
      <c r="D37" s="91"/>
      <c r="E37" s="91">
        <v>0</v>
      </c>
      <c r="F37" s="91"/>
      <c r="G37" s="91">
        <v>0</v>
      </c>
      <c r="H37" s="23">
        <f t="shared" si="2"/>
        <v>0</v>
      </c>
      <c r="I37" s="23"/>
      <c r="J37" s="23"/>
      <c r="K37" s="23"/>
      <c r="L37" s="23"/>
      <c r="M37" s="86"/>
    </row>
    <row r="38" spans="1:13" hidden="1">
      <c r="A38" s="35" t="s">
        <v>38</v>
      </c>
      <c r="B38" s="35"/>
      <c r="C38" s="91">
        <v>0</v>
      </c>
      <c r="D38" s="91"/>
      <c r="E38" s="91">
        <v>0</v>
      </c>
      <c r="F38" s="91"/>
      <c r="G38" s="91">
        <v>0</v>
      </c>
      <c r="H38" s="23">
        <f t="shared" si="2"/>
        <v>0</v>
      </c>
      <c r="I38" s="23"/>
      <c r="J38" s="23"/>
      <c r="K38" s="23"/>
      <c r="L38" s="23"/>
      <c r="M38" s="86"/>
    </row>
    <row r="39" spans="1:13" ht="15.5" hidden="1" customHeight="1">
      <c r="A39" s="105"/>
      <c r="B39" s="105"/>
      <c r="C39" s="109">
        <f t="shared" ref="C39:H39" si="3">ROUND(SUM(C30:C38),0)</f>
        <v>0</v>
      </c>
      <c r="D39" s="109"/>
      <c r="E39" s="109">
        <f t="shared" si="3"/>
        <v>0</v>
      </c>
      <c r="F39" s="109"/>
      <c r="G39" s="109">
        <f t="shared" si="3"/>
        <v>0</v>
      </c>
      <c r="H39" s="109">
        <f t="shared" si="3"/>
        <v>0</v>
      </c>
      <c r="I39" s="109"/>
      <c r="J39" s="109"/>
      <c r="K39" s="109"/>
      <c r="L39" s="109"/>
      <c r="M39" s="86"/>
    </row>
    <row r="40" spans="1:13" ht="14" customHeight="1">
      <c r="A40" s="105"/>
      <c r="B40" s="105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86"/>
    </row>
    <row r="41" spans="1:13" ht="14" customHeight="1">
      <c r="A41" s="89" t="s">
        <v>279</v>
      </c>
      <c r="B41" s="89"/>
      <c r="C41" s="96"/>
      <c r="D41" s="96"/>
      <c r="E41" s="96"/>
      <c r="F41" s="96"/>
      <c r="G41" s="96"/>
      <c r="H41" s="111"/>
      <c r="I41" s="111"/>
      <c r="J41" s="111"/>
      <c r="K41" s="111"/>
      <c r="L41" s="111"/>
      <c r="M41" s="89">
        <v>2</v>
      </c>
    </row>
    <row r="42" spans="1:13" ht="14" customHeight="1">
      <c r="A42" s="35" t="s">
        <v>299</v>
      </c>
      <c r="B42" s="35"/>
      <c r="C42" s="91">
        <v>0</v>
      </c>
      <c r="D42" s="91"/>
      <c r="E42" s="91">
        <v>0</v>
      </c>
      <c r="F42" s="91"/>
      <c r="G42" s="91">
        <v>25000</v>
      </c>
      <c r="H42" s="23">
        <f>ROUND(SUM(C42:G42),0)</f>
        <v>25000</v>
      </c>
      <c r="I42" s="23"/>
      <c r="J42" s="213">
        <v>0</v>
      </c>
      <c r="K42" s="23"/>
      <c r="L42" s="213">
        <v>0</v>
      </c>
      <c r="M42" s="85"/>
    </row>
    <row r="43" spans="1:13" ht="14" customHeight="1">
      <c r="A43" s="35" t="s">
        <v>297</v>
      </c>
      <c r="B43" s="35"/>
      <c r="C43" s="91">
        <v>20000</v>
      </c>
      <c r="D43" s="91"/>
      <c r="E43" s="91">
        <v>20000</v>
      </c>
      <c r="F43" s="91"/>
      <c r="G43" s="91">
        <v>20000</v>
      </c>
      <c r="H43" s="23"/>
      <c r="I43" s="23"/>
      <c r="J43" s="213">
        <v>20000</v>
      </c>
      <c r="K43" s="23"/>
      <c r="L43" s="213">
        <v>20000</v>
      </c>
      <c r="M43" s="85"/>
    </row>
    <row r="44" spans="1:13" ht="14" hidden="1" customHeight="1">
      <c r="A44" s="35"/>
      <c r="B44" s="35"/>
      <c r="C44" s="91"/>
      <c r="D44" s="91"/>
      <c r="E44" s="91"/>
      <c r="F44" s="91"/>
      <c r="G44" s="91"/>
      <c r="H44" s="23"/>
      <c r="I44" s="23"/>
      <c r="J44" s="213"/>
      <c r="K44" s="23"/>
      <c r="L44" s="213"/>
      <c r="M44" s="85"/>
    </row>
    <row r="45" spans="1:13" ht="14" hidden="1" customHeight="1">
      <c r="A45" s="35"/>
      <c r="B45" s="35"/>
      <c r="C45" s="91"/>
      <c r="D45" s="91"/>
      <c r="E45" s="91"/>
      <c r="F45" s="91"/>
      <c r="G45" s="91"/>
      <c r="H45" s="23"/>
      <c r="I45" s="23"/>
      <c r="J45" s="213"/>
      <c r="K45" s="23"/>
      <c r="L45" s="213"/>
      <c r="M45" s="85"/>
    </row>
    <row r="46" spans="1:13" ht="14" hidden="1" customHeight="1">
      <c r="A46" s="35"/>
      <c r="B46" s="35"/>
      <c r="C46" s="91"/>
      <c r="D46" s="91"/>
      <c r="E46" s="91"/>
      <c r="F46" s="91"/>
      <c r="G46" s="91"/>
      <c r="H46" s="23"/>
      <c r="I46" s="23"/>
      <c r="J46" s="213"/>
      <c r="K46" s="23"/>
      <c r="L46" s="213"/>
      <c r="M46" s="85"/>
    </row>
    <row r="47" spans="1:13" ht="14" hidden="1" customHeight="1">
      <c r="A47" s="35"/>
      <c r="B47" s="35"/>
      <c r="C47" s="91"/>
      <c r="D47" s="91"/>
      <c r="E47" s="91"/>
      <c r="F47" s="91"/>
      <c r="G47" s="91"/>
      <c r="H47" s="23"/>
      <c r="I47" s="23"/>
      <c r="J47" s="213"/>
      <c r="K47" s="23"/>
      <c r="L47" s="213"/>
      <c r="M47" s="85"/>
    </row>
    <row r="48" spans="1:13" ht="14" customHeight="1" thickBot="1">
      <c r="A48" s="35" t="s">
        <v>280</v>
      </c>
      <c r="B48" s="35"/>
      <c r="C48" s="203">
        <f>8*5000</f>
        <v>40000</v>
      </c>
      <c r="D48" s="203"/>
      <c r="E48" s="203">
        <v>40000</v>
      </c>
      <c r="F48" s="203"/>
      <c r="G48" s="203">
        <f>9*5000</f>
        <v>45000</v>
      </c>
      <c r="H48" s="23">
        <f>ROUND(SUM(C48:G48),0)</f>
        <v>125000</v>
      </c>
      <c r="I48" s="23"/>
      <c r="J48" s="213">
        <v>45000</v>
      </c>
      <c r="K48" s="23"/>
      <c r="L48" s="213">
        <v>45000</v>
      </c>
      <c r="M48" s="85"/>
    </row>
    <row r="49" spans="1:13" ht="14" hidden="1" customHeight="1">
      <c r="A49" s="35" t="s">
        <v>68</v>
      </c>
      <c r="B49" s="35"/>
      <c r="C49" s="91">
        <v>0</v>
      </c>
      <c r="D49" s="91"/>
      <c r="E49" s="91">
        <v>0</v>
      </c>
      <c r="F49" s="91"/>
      <c r="G49" s="91">
        <v>0</v>
      </c>
      <c r="H49" s="23">
        <f>ROUND(SUM(C49:G49),0)</f>
        <v>0</v>
      </c>
      <c r="I49" s="23"/>
      <c r="J49" s="23"/>
      <c r="K49" s="23"/>
      <c r="L49" s="23"/>
      <c r="M49" s="85"/>
    </row>
    <row r="50" spans="1:13" ht="14" hidden="1" customHeight="1">
      <c r="A50" s="35" t="s">
        <v>67</v>
      </c>
      <c r="B50" s="35"/>
      <c r="C50" s="91">
        <v>0</v>
      </c>
      <c r="D50" s="91"/>
      <c r="E50" s="91">
        <v>0</v>
      </c>
      <c r="F50" s="91"/>
      <c r="G50" s="91">
        <v>0</v>
      </c>
      <c r="H50" s="23">
        <f>ROUND(SUM(C50:G50),0)</f>
        <v>0</v>
      </c>
      <c r="I50" s="23"/>
      <c r="J50" s="23"/>
      <c r="K50" s="23"/>
      <c r="L50" s="23"/>
      <c r="M50" s="85"/>
    </row>
    <row r="51" spans="1:13" ht="14" hidden="1" customHeight="1">
      <c r="A51" s="35" t="s">
        <v>66</v>
      </c>
      <c r="B51" s="35"/>
      <c r="C51" s="91">
        <v>0</v>
      </c>
      <c r="D51" s="91"/>
      <c r="E51" s="91">
        <v>0</v>
      </c>
      <c r="F51" s="91"/>
      <c r="G51" s="91">
        <v>0</v>
      </c>
      <c r="H51" s="23">
        <f>ROUND(SUM(C51:G51),0)</f>
        <v>0</v>
      </c>
      <c r="I51" s="23"/>
      <c r="J51" s="23"/>
      <c r="K51" s="23"/>
      <c r="L51" s="23"/>
      <c r="M51" s="85"/>
    </row>
    <row r="52" spans="1:13" ht="14" customHeight="1" thickBot="1">
      <c r="A52" s="218" t="s">
        <v>1</v>
      </c>
      <c r="B52" s="215"/>
      <c r="C52" s="216">
        <f t="shared" ref="C52:H52" si="4">ROUND(SUM(C42:C51),0)</f>
        <v>60000</v>
      </c>
      <c r="D52" s="216"/>
      <c r="E52" s="216">
        <f t="shared" si="4"/>
        <v>60000</v>
      </c>
      <c r="F52" s="216"/>
      <c r="G52" s="216">
        <f t="shared" si="4"/>
        <v>90000</v>
      </c>
      <c r="H52" s="216">
        <f t="shared" si="4"/>
        <v>150000</v>
      </c>
      <c r="I52" s="216"/>
      <c r="J52" s="217">
        <f>SUM(J42:J51)</f>
        <v>65000</v>
      </c>
      <c r="K52" s="216"/>
      <c r="L52" s="217">
        <f>SUM(L42:L51)</f>
        <v>65000</v>
      </c>
      <c r="M52" s="85"/>
    </row>
    <row r="53" spans="1:13" ht="14" customHeight="1"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85"/>
    </row>
    <row r="54" spans="1:13" ht="14" customHeight="1">
      <c r="A54" s="89" t="s">
        <v>281</v>
      </c>
      <c r="B54" s="89"/>
      <c r="C54" s="92"/>
      <c r="D54" s="92"/>
      <c r="E54" s="92"/>
      <c r="F54" s="92"/>
      <c r="G54" s="92"/>
      <c r="H54" s="108"/>
      <c r="I54" s="108"/>
      <c r="J54" s="108"/>
      <c r="K54" s="108"/>
      <c r="L54" s="108"/>
      <c r="M54" s="89">
        <v>3</v>
      </c>
    </row>
    <row r="55" spans="1:13" ht="14" customHeight="1">
      <c r="A55" s="35" t="s">
        <v>288</v>
      </c>
      <c r="B55" s="35"/>
      <c r="C55" s="91">
        <v>165000</v>
      </c>
      <c r="D55" s="91"/>
      <c r="E55" s="203">
        <v>135000</v>
      </c>
      <c r="F55" s="203"/>
      <c r="G55" s="203">
        <v>163000</v>
      </c>
      <c r="H55" s="23">
        <f>ROUND(SUM(C55:G55),0)</f>
        <v>463000</v>
      </c>
      <c r="I55" s="23"/>
      <c r="J55" s="213">
        <v>165000</v>
      </c>
      <c r="K55" s="23"/>
      <c r="L55" s="213">
        <v>170000</v>
      </c>
      <c r="M55" s="86"/>
    </row>
    <row r="56" spans="1:13" ht="14" customHeight="1">
      <c r="A56" s="35" t="s">
        <v>322</v>
      </c>
      <c r="B56" s="35"/>
      <c r="C56" s="91">
        <v>0</v>
      </c>
      <c r="D56" s="91"/>
      <c r="E56" s="203">
        <v>54000</v>
      </c>
      <c r="F56" s="203"/>
      <c r="G56" s="203">
        <v>0</v>
      </c>
      <c r="H56" s="23"/>
      <c r="I56" s="23"/>
      <c r="J56" s="213">
        <v>0</v>
      </c>
      <c r="K56" s="23"/>
      <c r="L56" s="213">
        <v>0</v>
      </c>
      <c r="M56" s="86"/>
    </row>
    <row r="57" spans="1:13" ht="14" customHeight="1">
      <c r="A57" s="35" t="s">
        <v>290</v>
      </c>
      <c r="B57" s="35"/>
      <c r="C57" s="91">
        <v>5000</v>
      </c>
      <c r="D57" s="91"/>
      <c r="E57" s="203">
        <v>0</v>
      </c>
      <c r="F57" s="203"/>
      <c r="G57" s="203">
        <v>10000</v>
      </c>
      <c r="H57" s="23"/>
      <c r="I57" s="23"/>
      <c r="J57" s="213">
        <v>10000</v>
      </c>
      <c r="K57" s="23"/>
      <c r="L57" s="213">
        <v>10000</v>
      </c>
      <c r="M57" s="86"/>
    </row>
    <row r="58" spans="1:13" ht="14" hidden="1" customHeight="1">
      <c r="A58" s="35" t="s">
        <v>289</v>
      </c>
      <c r="B58" s="35"/>
      <c r="C58" s="91">
        <v>0</v>
      </c>
      <c r="D58" s="91"/>
      <c r="E58" s="203">
        <v>0</v>
      </c>
      <c r="F58" s="203"/>
      <c r="G58" s="203">
        <v>0</v>
      </c>
      <c r="H58" s="23"/>
      <c r="I58" s="23"/>
      <c r="J58" s="213"/>
      <c r="K58" s="23"/>
      <c r="L58" s="213"/>
      <c r="M58" s="86"/>
    </row>
    <row r="59" spans="1:13" ht="14" customHeight="1" thickBot="1">
      <c r="A59" s="35" t="s">
        <v>282</v>
      </c>
      <c r="B59" s="35"/>
      <c r="C59" s="91">
        <v>3500</v>
      </c>
      <c r="D59" s="91"/>
      <c r="E59" s="91">
        <v>4000</v>
      </c>
      <c r="F59" s="91"/>
      <c r="G59" s="91">
        <v>4500</v>
      </c>
      <c r="H59" s="23">
        <f>ROUND(SUM(C59:G59),0)</f>
        <v>12000</v>
      </c>
      <c r="I59" s="23"/>
      <c r="J59" s="213">
        <v>5000</v>
      </c>
      <c r="K59" s="23"/>
      <c r="L59" s="213">
        <v>5000</v>
      </c>
      <c r="M59" s="86"/>
    </row>
    <row r="60" spans="1:13" ht="14" hidden="1" customHeight="1">
      <c r="A60" s="35" t="s">
        <v>294</v>
      </c>
      <c r="B60" s="35"/>
      <c r="C60" s="91">
        <v>0</v>
      </c>
      <c r="D60" s="91"/>
      <c r="E60" s="203">
        <v>0</v>
      </c>
      <c r="F60" s="203"/>
      <c r="G60" s="203">
        <v>0</v>
      </c>
      <c r="H60" s="23">
        <f>ROUND(SUM(C60:G60),0)</f>
        <v>0</v>
      </c>
      <c r="I60" s="23"/>
      <c r="J60" s="23"/>
      <c r="K60" s="23"/>
      <c r="L60" s="23"/>
      <c r="M60" s="86"/>
    </row>
    <row r="61" spans="1:13" ht="14" hidden="1" customHeight="1">
      <c r="A61" s="35" t="s">
        <v>69</v>
      </c>
      <c r="B61" s="35"/>
      <c r="C61" s="91">
        <v>0</v>
      </c>
      <c r="D61" s="91"/>
      <c r="E61" s="91">
        <v>0</v>
      </c>
      <c r="F61" s="91"/>
      <c r="G61" s="91">
        <v>0</v>
      </c>
      <c r="H61" s="23">
        <f>ROUND(SUM(C61:G61),0)</f>
        <v>0</v>
      </c>
      <c r="I61" s="23"/>
      <c r="J61" s="23"/>
      <c r="K61" s="23"/>
      <c r="L61" s="23"/>
      <c r="M61" s="86"/>
    </row>
    <row r="62" spans="1:13" ht="15.5" customHeight="1" thickBot="1">
      <c r="A62" s="218" t="s">
        <v>318</v>
      </c>
      <c r="B62" s="215"/>
      <c r="C62" s="216">
        <f>ROUND(SUM(C55:C61),0)</f>
        <v>173500</v>
      </c>
      <c r="D62" s="216"/>
      <c r="E62" s="216">
        <f>ROUND(SUM(E55:E61),0)</f>
        <v>193000</v>
      </c>
      <c r="F62" s="216"/>
      <c r="G62" s="216">
        <f>ROUND(SUM(G55:G61),0)</f>
        <v>177500</v>
      </c>
      <c r="H62" s="216">
        <f>ROUND(SUM(H55:H61),0)</f>
        <v>475000</v>
      </c>
      <c r="I62" s="216"/>
      <c r="J62" s="217">
        <f>SUM(J55:J61)</f>
        <v>180000</v>
      </c>
      <c r="K62" s="216"/>
      <c r="L62" s="217">
        <f>SUM(L55:L61)</f>
        <v>185000</v>
      </c>
      <c r="M62" s="86"/>
    </row>
    <row r="63" spans="1:13" ht="14" customHeight="1"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86"/>
    </row>
    <row r="64" spans="1:13" hidden="1">
      <c r="A64" s="89" t="s">
        <v>70</v>
      </c>
      <c r="B64" s="89"/>
      <c r="C64" s="97"/>
      <c r="D64" s="97"/>
      <c r="E64" s="97"/>
      <c r="F64" s="97"/>
      <c r="G64" s="97"/>
      <c r="H64" s="108"/>
      <c r="I64" s="108"/>
      <c r="J64" s="108"/>
      <c r="K64" s="108"/>
      <c r="L64" s="108"/>
      <c r="M64" s="89">
        <v>6</v>
      </c>
    </row>
    <row r="65" spans="1:13" hidden="1">
      <c r="A65" s="35" t="s">
        <v>71</v>
      </c>
      <c r="B65" s="35"/>
      <c r="C65" s="91">
        <v>0</v>
      </c>
      <c r="D65" s="91"/>
      <c r="E65" s="91">
        <v>0</v>
      </c>
      <c r="F65" s="91"/>
      <c r="G65" s="91">
        <v>0</v>
      </c>
      <c r="H65" s="23">
        <f t="shared" ref="H65:H70" si="5">ROUND(SUM(C65:G65),0)</f>
        <v>0</v>
      </c>
      <c r="I65" s="23"/>
      <c r="J65" s="23"/>
      <c r="K65" s="23"/>
      <c r="L65" s="23"/>
      <c r="M65" s="86"/>
    </row>
    <row r="66" spans="1:13" hidden="1">
      <c r="A66" s="35" t="s">
        <v>132</v>
      </c>
      <c r="B66" s="35"/>
      <c r="C66" s="91">
        <v>0</v>
      </c>
      <c r="D66" s="91"/>
      <c r="E66" s="91">
        <v>0</v>
      </c>
      <c r="F66" s="91"/>
      <c r="G66" s="91">
        <v>0</v>
      </c>
      <c r="H66" s="23">
        <f t="shared" si="5"/>
        <v>0</v>
      </c>
      <c r="I66" s="23"/>
      <c r="J66" s="23"/>
      <c r="K66" s="23"/>
      <c r="L66" s="23"/>
      <c r="M66" s="86"/>
    </row>
    <row r="67" spans="1:13" hidden="1">
      <c r="A67" s="35" t="s">
        <v>69</v>
      </c>
      <c r="B67" s="35"/>
      <c r="C67" s="91">
        <v>0</v>
      </c>
      <c r="D67" s="91"/>
      <c r="E67" s="91">
        <v>0</v>
      </c>
      <c r="F67" s="91"/>
      <c r="G67" s="91">
        <v>0</v>
      </c>
      <c r="H67" s="23">
        <f t="shared" si="5"/>
        <v>0</v>
      </c>
      <c r="I67" s="23"/>
      <c r="J67" s="23"/>
      <c r="K67" s="23"/>
      <c r="L67" s="23"/>
      <c r="M67" s="86"/>
    </row>
    <row r="68" spans="1:13" hidden="1">
      <c r="A68" s="35" t="s">
        <v>39</v>
      </c>
      <c r="B68" s="35"/>
      <c r="C68" s="91">
        <v>0</v>
      </c>
      <c r="D68" s="91"/>
      <c r="E68" s="91">
        <v>0</v>
      </c>
      <c r="F68" s="91"/>
      <c r="G68" s="91">
        <v>0</v>
      </c>
      <c r="H68" s="23">
        <f t="shared" si="5"/>
        <v>0</v>
      </c>
      <c r="I68" s="23"/>
      <c r="J68" s="23"/>
      <c r="K68" s="23"/>
      <c r="L68" s="23"/>
      <c r="M68" s="86"/>
    </row>
    <row r="69" spans="1:13" hidden="1">
      <c r="A69" s="35" t="s">
        <v>130</v>
      </c>
      <c r="B69" s="35"/>
      <c r="C69" s="91">
        <v>0</v>
      </c>
      <c r="D69" s="91"/>
      <c r="E69" s="91">
        <v>0</v>
      </c>
      <c r="F69" s="91"/>
      <c r="G69" s="91">
        <v>0</v>
      </c>
      <c r="H69" s="23">
        <f t="shared" si="5"/>
        <v>0</v>
      </c>
      <c r="I69" s="23"/>
      <c r="J69" s="23"/>
      <c r="K69" s="23"/>
      <c r="L69" s="23"/>
      <c r="M69" s="86"/>
    </row>
    <row r="70" spans="1:13" hidden="1">
      <c r="A70" s="35" t="s">
        <v>131</v>
      </c>
      <c r="B70" s="35"/>
      <c r="C70" s="91">
        <v>0</v>
      </c>
      <c r="D70" s="91"/>
      <c r="E70" s="91">
        <v>0</v>
      </c>
      <c r="F70" s="91"/>
      <c r="G70" s="91">
        <v>0</v>
      </c>
      <c r="H70" s="23">
        <f t="shared" si="5"/>
        <v>0</v>
      </c>
      <c r="I70" s="23"/>
      <c r="J70" s="23"/>
      <c r="K70" s="23"/>
      <c r="L70" s="23"/>
      <c r="M70" s="86"/>
    </row>
    <row r="71" spans="1:13" ht="15.5" hidden="1" customHeight="1">
      <c r="C71" s="109">
        <f>ROUND(SUM(C65:C70),0)</f>
        <v>0</v>
      </c>
      <c r="D71" s="109"/>
      <c r="E71" s="109">
        <f>ROUND(SUM(E65:E70),0)</f>
        <v>0</v>
      </c>
      <c r="F71" s="109"/>
      <c r="G71" s="109">
        <f>ROUND(SUM(G65:G70),0)</f>
        <v>0</v>
      </c>
      <c r="H71" s="109">
        <f>ROUND(SUM(H65:H70),0)</f>
        <v>0</v>
      </c>
      <c r="I71" s="109"/>
      <c r="J71" s="109"/>
      <c r="K71" s="109"/>
      <c r="L71" s="109"/>
      <c r="M71" s="86"/>
    </row>
    <row r="72" spans="1:13" hidden="1"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86"/>
    </row>
    <row r="73" spans="1:13">
      <c r="A73" s="89" t="s">
        <v>27</v>
      </c>
      <c r="B73" s="89"/>
      <c r="C73" s="92"/>
      <c r="D73" s="92"/>
      <c r="E73" s="92"/>
      <c r="F73" s="92"/>
      <c r="G73" s="92"/>
      <c r="H73" s="108"/>
      <c r="I73" s="108"/>
      <c r="J73" s="108"/>
      <c r="K73" s="108"/>
      <c r="L73" s="108"/>
      <c r="M73" s="89">
        <v>4</v>
      </c>
    </row>
    <row r="74" spans="1:13">
      <c r="A74" s="35" t="s">
        <v>72</v>
      </c>
      <c r="B74" s="35"/>
      <c r="C74" s="91">
        <v>500</v>
      </c>
      <c r="D74" s="91"/>
      <c r="E74" s="203">
        <v>500</v>
      </c>
      <c r="F74" s="203"/>
      <c r="G74" s="203">
        <v>500</v>
      </c>
      <c r="H74" s="23">
        <f>ROUND(SUM(C74:G74),0)</f>
        <v>1500</v>
      </c>
      <c r="I74" s="23"/>
      <c r="J74" s="213">
        <v>500</v>
      </c>
      <c r="K74" s="23"/>
      <c r="L74" s="213">
        <v>500</v>
      </c>
      <c r="M74" s="86"/>
    </row>
    <row r="75" spans="1:13" hidden="1">
      <c r="A75" s="35" t="s">
        <v>291</v>
      </c>
      <c r="B75" s="35"/>
      <c r="C75" s="91">
        <v>0</v>
      </c>
      <c r="D75" s="91"/>
      <c r="E75" s="203">
        <v>0</v>
      </c>
      <c r="F75" s="203"/>
      <c r="G75" s="203">
        <v>0</v>
      </c>
      <c r="H75" s="23"/>
      <c r="I75" s="23"/>
      <c r="J75" s="213"/>
      <c r="K75" s="23"/>
      <c r="L75" s="213"/>
      <c r="M75" s="86"/>
    </row>
    <row r="76" spans="1:13">
      <c r="A76" s="35" t="s">
        <v>283</v>
      </c>
      <c r="B76" s="35"/>
      <c r="C76" s="91">
        <v>12000</v>
      </c>
      <c r="D76" s="91"/>
      <c r="E76" s="203">
        <v>12000</v>
      </c>
      <c r="F76" s="203"/>
      <c r="G76" s="203">
        <v>12000</v>
      </c>
      <c r="H76" s="23">
        <f t="shared" ref="H76:H83" si="6">ROUND(SUM(C76:G76),0)</f>
        <v>36000</v>
      </c>
      <c r="I76" s="23"/>
      <c r="J76" s="213">
        <v>12000</v>
      </c>
      <c r="K76" s="23"/>
      <c r="L76" s="213">
        <v>12000</v>
      </c>
      <c r="M76" s="86"/>
    </row>
    <row r="77" spans="1:13">
      <c r="A77" s="35" t="s">
        <v>284</v>
      </c>
      <c r="B77" s="35"/>
      <c r="C77" s="91">
        <v>1500</v>
      </c>
      <c r="D77" s="91"/>
      <c r="E77" s="203">
        <v>1500</v>
      </c>
      <c r="F77" s="203"/>
      <c r="G77" s="203">
        <v>1500</v>
      </c>
      <c r="H77" s="23">
        <f t="shared" si="6"/>
        <v>4500</v>
      </c>
      <c r="I77" s="23"/>
      <c r="J77" s="213">
        <v>1500</v>
      </c>
      <c r="K77" s="23"/>
      <c r="L77" s="213">
        <v>1500</v>
      </c>
      <c r="M77" s="86"/>
    </row>
    <row r="78" spans="1:13">
      <c r="A78" s="35" t="s">
        <v>287</v>
      </c>
      <c r="B78" s="35"/>
      <c r="C78" s="91">
        <v>500</v>
      </c>
      <c r="D78" s="91"/>
      <c r="E78" s="203">
        <v>500</v>
      </c>
      <c r="F78" s="203"/>
      <c r="G78" s="203">
        <v>500</v>
      </c>
      <c r="H78" s="23">
        <f t="shared" si="6"/>
        <v>1500</v>
      </c>
      <c r="I78" s="23"/>
      <c r="J78" s="213">
        <v>500</v>
      </c>
      <c r="K78" s="23"/>
      <c r="L78" s="213">
        <v>500</v>
      </c>
      <c r="M78" s="86"/>
    </row>
    <row r="79" spans="1:13">
      <c r="A79" s="35" t="s">
        <v>295</v>
      </c>
      <c r="B79" s="35"/>
      <c r="C79" s="91">
        <v>6250</v>
      </c>
      <c r="D79" s="91"/>
      <c r="E79" s="91">
        <v>10000</v>
      </c>
      <c r="F79" s="91"/>
      <c r="G79" s="91">
        <v>10000</v>
      </c>
      <c r="H79" s="23">
        <f t="shared" si="6"/>
        <v>26250</v>
      </c>
      <c r="I79" s="23"/>
      <c r="J79" s="213">
        <v>10000</v>
      </c>
      <c r="K79" s="23"/>
      <c r="L79" s="213">
        <v>10000</v>
      </c>
      <c r="M79" s="86"/>
    </row>
    <row r="80" spans="1:13" ht="14" thickBot="1">
      <c r="A80" s="35" t="s">
        <v>296</v>
      </c>
      <c r="B80" s="35"/>
      <c r="C80" s="91">
        <v>5000</v>
      </c>
      <c r="D80" s="91"/>
      <c r="E80" s="91">
        <v>5000</v>
      </c>
      <c r="F80" s="91"/>
      <c r="G80" s="91">
        <v>5000</v>
      </c>
      <c r="H80" s="23">
        <f t="shared" si="6"/>
        <v>15000</v>
      </c>
      <c r="I80" s="23"/>
      <c r="J80" s="213">
        <v>5000</v>
      </c>
      <c r="K80" s="23"/>
      <c r="L80" s="213">
        <v>5000</v>
      </c>
      <c r="M80" s="86"/>
    </row>
    <row r="81" spans="1:13" ht="14" hidden="1" thickBot="1">
      <c r="A81" s="35" t="s">
        <v>73</v>
      </c>
      <c r="B81" s="35"/>
      <c r="C81" s="91">
        <v>0</v>
      </c>
      <c r="D81" s="91"/>
      <c r="E81" s="91">
        <v>0</v>
      </c>
      <c r="F81" s="91"/>
      <c r="G81" s="91">
        <v>0</v>
      </c>
      <c r="H81" s="23">
        <f t="shared" si="6"/>
        <v>0</v>
      </c>
      <c r="I81" s="23"/>
      <c r="J81" s="23"/>
      <c r="K81" s="23"/>
      <c r="L81" s="23"/>
      <c r="M81" s="86"/>
    </row>
    <row r="82" spans="1:13" ht="14" hidden="1" thickBot="1">
      <c r="A82" s="35" t="s">
        <v>74</v>
      </c>
      <c r="B82" s="35"/>
      <c r="C82" s="91">
        <v>0</v>
      </c>
      <c r="D82" s="91"/>
      <c r="E82" s="91">
        <v>0</v>
      </c>
      <c r="F82" s="91"/>
      <c r="G82" s="91">
        <v>0</v>
      </c>
      <c r="H82" s="23">
        <f t="shared" si="6"/>
        <v>0</v>
      </c>
      <c r="I82" s="23"/>
      <c r="J82" s="23"/>
      <c r="K82" s="23"/>
      <c r="L82" s="23"/>
      <c r="M82" s="86"/>
    </row>
    <row r="83" spans="1:13" ht="14" hidden="1" thickBot="1">
      <c r="A83" s="35" t="s">
        <v>133</v>
      </c>
      <c r="B83" s="35"/>
      <c r="C83" s="91">
        <v>0</v>
      </c>
      <c r="D83" s="91"/>
      <c r="E83" s="91">
        <v>0</v>
      </c>
      <c r="F83" s="91"/>
      <c r="G83" s="91">
        <v>0</v>
      </c>
      <c r="H83" s="23">
        <f t="shared" si="6"/>
        <v>0</v>
      </c>
      <c r="I83" s="23"/>
      <c r="J83" s="23"/>
      <c r="K83" s="23"/>
      <c r="L83" s="23"/>
      <c r="M83" s="86"/>
    </row>
    <row r="84" spans="1:13" ht="15.5" customHeight="1" thickBot="1">
      <c r="A84" s="218" t="s">
        <v>1</v>
      </c>
      <c r="B84" s="219"/>
      <c r="C84" s="216">
        <f>ROUND(SUM(C74:C83),0)</f>
        <v>25750</v>
      </c>
      <c r="D84" s="216"/>
      <c r="E84" s="216">
        <f>ROUND(SUM(E74:E83),0)</f>
        <v>29500</v>
      </c>
      <c r="F84" s="216"/>
      <c r="G84" s="216">
        <f>ROUND(SUM(G74:G83),0)</f>
        <v>29500</v>
      </c>
      <c r="H84" s="216">
        <f>ROUND(SUM(H74:H83),0)</f>
        <v>84750</v>
      </c>
      <c r="I84" s="216"/>
      <c r="J84" s="217">
        <f>SUM(J74:J83)</f>
        <v>29500</v>
      </c>
      <c r="K84" s="216"/>
      <c r="L84" s="217">
        <f>SUM(L74:L83)</f>
        <v>29500</v>
      </c>
      <c r="M84" s="86"/>
    </row>
    <row r="85" spans="1:13" ht="15.5" customHeight="1" thickBot="1">
      <c r="A85" s="222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86"/>
    </row>
    <row r="86" spans="1:13" ht="15.5" customHeight="1" thickBot="1">
      <c r="A86" s="218" t="s">
        <v>319</v>
      </c>
      <c r="B86" s="219"/>
      <c r="C86" s="216">
        <f>C84+C62+C52</f>
        <v>259250</v>
      </c>
      <c r="D86" s="216"/>
      <c r="E86" s="216">
        <f>E84+E62+E52</f>
        <v>282500</v>
      </c>
      <c r="F86" s="216"/>
      <c r="G86" s="216">
        <f>G84+G62+G52</f>
        <v>297000</v>
      </c>
      <c r="H86" s="216"/>
      <c r="I86" s="216"/>
      <c r="J86" s="217">
        <f>J84+J62+J52</f>
        <v>274500</v>
      </c>
      <c r="K86" s="216"/>
      <c r="L86" s="217">
        <f>L84+L62+L52</f>
        <v>279500</v>
      </c>
      <c r="M86" s="86"/>
    </row>
    <row r="87" spans="1:13" ht="14" thickBot="1"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86"/>
    </row>
    <row r="88" spans="1:13" ht="14" hidden="1" thickBot="1">
      <c r="A88" s="112" t="s">
        <v>75</v>
      </c>
      <c r="B88" s="112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89">
        <v>8</v>
      </c>
    </row>
    <row r="89" spans="1:13" ht="14" hidden="1" thickBot="1">
      <c r="A89" s="38" t="str">
        <f>+Forudsætn.!A23</f>
        <v>Goodwill</v>
      </c>
      <c r="B89" s="38"/>
      <c r="C89" s="23">
        <f>+Forudsætn.!B31</f>
        <v>0</v>
      </c>
      <c r="D89" s="23"/>
      <c r="E89" s="23">
        <f>+Forudsætn.!C31</f>
        <v>0</v>
      </c>
      <c r="F89" s="23"/>
      <c r="G89" s="23">
        <f>+Forudsætn.!D31</f>
        <v>0</v>
      </c>
      <c r="H89" s="23">
        <f t="shared" ref="H89:H95" si="7">ROUND(SUM(C89:G89),0)</f>
        <v>0</v>
      </c>
      <c r="I89" s="23"/>
      <c r="J89" s="23"/>
      <c r="K89" s="23"/>
      <c r="L89" s="23"/>
      <c r="M89" s="86"/>
    </row>
    <row r="90" spans="1:13" ht="14" hidden="1" thickBot="1">
      <c r="A90" s="38" t="str">
        <f>+Forudsætn.!A43</f>
        <v>Indretning lejede lokaler</v>
      </c>
      <c r="B90" s="38"/>
      <c r="C90" s="23">
        <f>+Forudsætn.!B51</f>
        <v>0</v>
      </c>
      <c r="D90" s="23"/>
      <c r="E90" s="23">
        <f>+Forudsætn.!C51</f>
        <v>0</v>
      </c>
      <c r="F90" s="23"/>
      <c r="G90" s="23">
        <f>+Forudsætn.!D51</f>
        <v>0</v>
      </c>
      <c r="H90" s="23">
        <f t="shared" si="7"/>
        <v>0</v>
      </c>
      <c r="I90" s="23"/>
      <c r="J90" s="23"/>
      <c r="K90" s="23"/>
      <c r="L90" s="23"/>
      <c r="M90" s="86"/>
    </row>
    <row r="91" spans="1:13" ht="14" hidden="1" thickBot="1">
      <c r="A91" s="38" t="str">
        <f>+Forudsætn.!A61</f>
        <v>Grunde og bygninger</v>
      </c>
      <c r="B91" s="38"/>
      <c r="C91" s="23">
        <f>+Forudsætn.!B69</f>
        <v>0</v>
      </c>
      <c r="D91" s="23"/>
      <c r="E91" s="23">
        <f>+Forudsætn.!C69</f>
        <v>0</v>
      </c>
      <c r="F91" s="23"/>
      <c r="G91" s="23">
        <f>+Forudsætn.!D69</f>
        <v>0</v>
      </c>
      <c r="H91" s="23">
        <f t="shared" si="7"/>
        <v>0</v>
      </c>
      <c r="I91" s="23"/>
      <c r="J91" s="23"/>
      <c r="K91" s="23"/>
      <c r="L91" s="23"/>
      <c r="M91" s="86"/>
    </row>
    <row r="92" spans="1:13" ht="14" hidden="1" thickBot="1">
      <c r="A92" s="38" t="str">
        <f>+Forudsætn.!A81</f>
        <v>Tekniske anlæg</v>
      </c>
      <c r="B92" s="38"/>
      <c r="C92" s="23">
        <f>+Forudsætn.!B89</f>
        <v>0</v>
      </c>
      <c r="D92" s="23"/>
      <c r="E92" s="23">
        <f>+Forudsætn.!C89</f>
        <v>0</v>
      </c>
      <c r="F92" s="23"/>
      <c r="G92" s="23">
        <f>+Forudsætn.!D89</f>
        <v>0</v>
      </c>
      <c r="H92" s="23">
        <f t="shared" si="7"/>
        <v>0</v>
      </c>
      <c r="I92" s="23"/>
      <c r="J92" s="23"/>
      <c r="K92" s="23"/>
      <c r="L92" s="23"/>
      <c r="M92" s="86"/>
    </row>
    <row r="93" spans="1:13" ht="14" hidden="1" thickBot="1">
      <c r="A93" s="38" t="str">
        <f>+Forudsætn.!A99</f>
        <v>Inventar</v>
      </c>
      <c r="B93" s="38"/>
      <c r="C93" s="23">
        <f>+Forudsætn.!B107</f>
        <v>0</v>
      </c>
      <c r="D93" s="23"/>
      <c r="E93" s="23">
        <f>+Forudsætn.!C107</f>
        <v>0</v>
      </c>
      <c r="F93" s="23"/>
      <c r="G93" s="23">
        <f>+Forudsætn.!D107</f>
        <v>0</v>
      </c>
      <c r="H93" s="23">
        <f t="shared" si="7"/>
        <v>0</v>
      </c>
      <c r="I93" s="23"/>
      <c r="J93" s="23"/>
      <c r="K93" s="23"/>
      <c r="L93" s="23"/>
      <c r="M93" s="86"/>
    </row>
    <row r="94" spans="1:13" ht="14" hidden="1" thickBot="1">
      <c r="A94" s="35" t="s">
        <v>28</v>
      </c>
      <c r="B94" s="35"/>
      <c r="C94" s="97">
        <v>0</v>
      </c>
      <c r="D94" s="97"/>
      <c r="E94" s="97">
        <v>0</v>
      </c>
      <c r="F94" s="97"/>
      <c r="G94" s="97">
        <v>0</v>
      </c>
      <c r="H94" s="23">
        <f t="shared" si="7"/>
        <v>0</v>
      </c>
      <c r="I94" s="23"/>
      <c r="J94" s="23"/>
      <c r="K94" s="23"/>
      <c r="L94" s="23"/>
      <c r="M94" s="86"/>
    </row>
    <row r="95" spans="1:13" ht="14" hidden="1" thickBot="1">
      <c r="A95" s="38" t="s">
        <v>217</v>
      </c>
      <c r="B95" s="38"/>
      <c r="C95" s="23">
        <f>-Forudsætn.!B37-Forudsætn.!B57-Forudsætn.!B75-Forudsætn.!B95-Forudsætn.!B113</f>
        <v>0</v>
      </c>
      <c r="D95" s="23"/>
      <c r="E95" s="23">
        <f>-Forudsætn.!C37-Forudsætn.!C57-Forudsætn.!C75-Forudsætn.!C95-Forudsætn.!C113</f>
        <v>0</v>
      </c>
      <c r="F95" s="23"/>
      <c r="G95" s="23">
        <f>-Forudsætn.!D37-Forudsætn.!D57-Forudsætn.!D75-Forudsætn.!D95-Forudsætn.!D113</f>
        <v>0</v>
      </c>
      <c r="H95" s="23">
        <f t="shared" si="7"/>
        <v>0</v>
      </c>
      <c r="I95" s="23"/>
      <c r="J95" s="23"/>
      <c r="K95" s="23"/>
      <c r="L95" s="23"/>
      <c r="M95" s="86"/>
    </row>
    <row r="96" spans="1:13" ht="15.5" hidden="1" customHeight="1">
      <c r="C96" s="109">
        <f>ROUND(SUM(C89:C95),0)</f>
        <v>0</v>
      </c>
      <c r="D96" s="109"/>
      <c r="E96" s="109">
        <f>ROUND(SUM(E89:E95),0)</f>
        <v>0</v>
      </c>
      <c r="F96" s="109"/>
      <c r="G96" s="109">
        <f>ROUND(SUM(G89:G95),0)</f>
        <v>0</v>
      </c>
      <c r="H96" s="109">
        <f>ROUND(SUM(H89:H94),0)</f>
        <v>0</v>
      </c>
      <c r="I96" s="109"/>
      <c r="J96" s="109"/>
      <c r="K96" s="109"/>
      <c r="L96" s="109"/>
      <c r="M96" s="86"/>
    </row>
    <row r="97" spans="1:14" ht="14" hidden="1" thickBot="1"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86"/>
    </row>
    <row r="98" spans="1:14" ht="14" hidden="1" thickBot="1">
      <c r="A98" s="89" t="s">
        <v>84</v>
      </c>
      <c r="B98" s="89"/>
      <c r="C98" s="92"/>
      <c r="D98" s="92"/>
      <c r="E98" s="92"/>
      <c r="F98" s="92"/>
      <c r="G98" s="92"/>
      <c r="H98" s="108"/>
      <c r="I98" s="108"/>
      <c r="J98" s="108"/>
      <c r="K98" s="108"/>
      <c r="L98" s="108"/>
      <c r="M98" s="89">
        <v>9</v>
      </c>
    </row>
    <row r="99" spans="1:14" ht="14" hidden="1" thickBot="1">
      <c r="A99" s="35" t="s">
        <v>85</v>
      </c>
      <c r="B99" s="35"/>
      <c r="C99" s="97">
        <v>0</v>
      </c>
      <c r="D99" s="97"/>
      <c r="E99" s="97">
        <v>0</v>
      </c>
      <c r="F99" s="97"/>
      <c r="G99" s="97">
        <v>0</v>
      </c>
      <c r="H99" s="23">
        <f>ROUND(SUM(C99:G99),0)</f>
        <v>0</v>
      </c>
      <c r="I99" s="23"/>
      <c r="J99" s="23"/>
      <c r="K99" s="23"/>
      <c r="L99" s="23"/>
      <c r="M99" s="86"/>
    </row>
    <row r="100" spans="1:14" ht="14" hidden="1" thickBot="1">
      <c r="A100" s="35" t="s">
        <v>86</v>
      </c>
      <c r="B100" s="35"/>
      <c r="C100" s="97">
        <v>0</v>
      </c>
      <c r="D100" s="97"/>
      <c r="E100" s="97">
        <v>0</v>
      </c>
      <c r="F100" s="97"/>
      <c r="G100" s="97">
        <v>0</v>
      </c>
      <c r="H100" s="23">
        <f>ROUND(SUM(C100:G100),0)</f>
        <v>0</v>
      </c>
      <c r="I100" s="23"/>
      <c r="J100" s="23"/>
      <c r="K100" s="23"/>
      <c r="L100" s="23"/>
      <c r="M100" s="86"/>
    </row>
    <row r="101" spans="1:14" ht="14" hidden="1" thickBot="1">
      <c r="A101" s="35" t="s">
        <v>87</v>
      </c>
      <c r="B101" s="35"/>
      <c r="C101" s="97">
        <v>0</v>
      </c>
      <c r="D101" s="97"/>
      <c r="E101" s="97">
        <v>0</v>
      </c>
      <c r="F101" s="97"/>
      <c r="G101" s="97">
        <v>0</v>
      </c>
      <c r="H101" s="23">
        <f>ROUND(SUM(C101:G101),0)</f>
        <v>0</v>
      </c>
      <c r="I101" s="23"/>
      <c r="J101" s="23"/>
      <c r="K101" s="23"/>
      <c r="L101" s="23"/>
      <c r="M101" s="86"/>
    </row>
    <row r="102" spans="1:14" ht="15.5" hidden="1" customHeight="1">
      <c r="C102" s="109">
        <f t="shared" ref="C102:H102" si="8">ROUND(SUM(C99:C101),0)</f>
        <v>0</v>
      </c>
      <c r="D102" s="109"/>
      <c r="E102" s="109">
        <f t="shared" si="8"/>
        <v>0</v>
      </c>
      <c r="F102" s="109"/>
      <c r="G102" s="109">
        <f t="shared" si="8"/>
        <v>0</v>
      </c>
      <c r="H102" s="109">
        <f t="shared" si="8"/>
        <v>0</v>
      </c>
      <c r="I102" s="109"/>
      <c r="J102" s="109"/>
      <c r="K102" s="109"/>
      <c r="L102" s="109"/>
      <c r="M102" s="86"/>
    </row>
    <row r="103" spans="1:14" ht="14" hidden="1" thickBot="1"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86"/>
    </row>
    <row r="104" spans="1:14" ht="14" hidden="1" thickBot="1">
      <c r="A104" s="89" t="s">
        <v>47</v>
      </c>
      <c r="B104" s="89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89">
        <v>10</v>
      </c>
    </row>
    <row r="105" spans="1:14" ht="14" hidden="1" thickBot="1">
      <c r="A105" s="35" t="s">
        <v>88</v>
      </c>
      <c r="B105" s="35"/>
      <c r="C105" s="97">
        <v>0</v>
      </c>
      <c r="D105" s="97"/>
      <c r="E105" s="97">
        <v>0</v>
      </c>
      <c r="F105" s="97"/>
      <c r="G105" s="97">
        <v>0</v>
      </c>
      <c r="H105" s="23">
        <f t="shared" ref="H105:H110" si="9">ROUND(SUM(C105:G105),0)</f>
        <v>0</v>
      </c>
      <c r="I105" s="23"/>
      <c r="J105" s="23"/>
      <c r="K105" s="23"/>
      <c r="L105" s="23"/>
      <c r="M105" s="86"/>
    </row>
    <row r="106" spans="1:14" ht="14" hidden="1" thickBot="1">
      <c r="A106" s="35" t="s">
        <v>226</v>
      </c>
      <c r="B106" s="35"/>
      <c r="C106" s="23">
        <f>ROUND(IF(Forudsætn.!$B$132="x",Balance!C50*Forudsætn.!B129/12,IF(Forudsætn.!$B$133="x",Balance!C50*Forudsætn.!B129/4,IF(Forudsætn.!$B$134="x",Balance!C50*Forudsætn.!B129/2,IF(Forudsætn.!$B$135="x",Balance!C50*Forudsætn.!B129,0)))),0)</f>
        <v>0</v>
      </c>
      <c r="D106" s="23"/>
      <c r="E106" s="23">
        <f>ROUND(IF(Forudsætn.!$B$132="x",Balance!D50*Forudsætn.!C129/12,IF(Forudsætn.!$B$133="x",Balance!D50*Forudsætn.!C129/4,IF(Forudsætn.!$B$134="x",Balance!D50*Forudsætn.!C129/2,IF(Forudsætn.!$B$135="x",Balance!D50*Forudsætn.!C129,0)))),0)</f>
        <v>0</v>
      </c>
      <c r="F106" s="23"/>
      <c r="G106" s="23">
        <f>ROUND(IF(Forudsætn.!$B$132="x",Balance!E50*Forudsætn.!D129/12,IF(Forudsætn.!$B$133="x",Balance!E50*Forudsætn.!D129/4,IF(Forudsætn.!$B$134="x",Balance!E50*Forudsætn.!D129/2,IF(Forudsætn.!$B$135="x",Balance!E50*Forudsætn.!D129,0)))),0)</f>
        <v>0</v>
      </c>
      <c r="H106" s="23">
        <f t="shared" si="9"/>
        <v>0</v>
      </c>
      <c r="I106" s="23"/>
      <c r="J106" s="23"/>
      <c r="K106" s="23"/>
      <c r="L106" s="23"/>
      <c r="M106" s="86"/>
    </row>
    <row r="107" spans="1:14" ht="14" hidden="1" thickBot="1">
      <c r="A107" s="35" t="s">
        <v>227</v>
      </c>
      <c r="B107" s="35"/>
      <c r="C107" s="23">
        <f>ROUND(IF(Forudsætn.!$B$144="x",Balance!C51*Forudsætn.!B141/12,IF(Forudsætn.!$B$145="x",Balance!C51*Forudsætn.!B141/4,IF(Forudsætn.!$B$146="x",Balance!C51*Forudsætn.!B141/2,IF(Forudsætn.!$B$147="x",Balance!C51*Forudsætn.!B141,0)))),0)</f>
        <v>0</v>
      </c>
      <c r="D107" s="23"/>
      <c r="E107" s="23">
        <f>ROUND(IF(Forudsætn.!$B$144="x",Balance!D51*Forudsætn.!C141/12,IF(Forudsætn.!$B$145="x",Balance!D51*Forudsætn.!C141/4,IF(Forudsætn.!$B$146="x",Balance!D51*Forudsætn.!C141/2,IF(Forudsætn.!$B$147="x",Balance!D51*Forudsætn.!C141,0)))),0)</f>
        <v>0</v>
      </c>
      <c r="F107" s="23"/>
      <c r="G107" s="23">
        <f>ROUND(IF(Forudsætn.!$B$144="x",Balance!E51*Forudsætn.!D141/12,IF(Forudsætn.!$B$145="x",Balance!E51*Forudsætn.!D141/4,IF(Forudsætn.!$B$146="x",Balance!E51*Forudsætn.!D141/2,IF(Forudsætn.!$B$147="x",Balance!E51*Forudsætn.!D141,0)))),0)</f>
        <v>0</v>
      </c>
      <c r="H107" s="23">
        <f t="shared" si="9"/>
        <v>0</v>
      </c>
      <c r="I107" s="23"/>
      <c r="J107" s="23"/>
      <c r="K107" s="23"/>
      <c r="L107" s="23"/>
      <c r="M107" s="86"/>
    </row>
    <row r="108" spans="1:14" ht="14" hidden="1" thickBot="1">
      <c r="A108" s="35" t="s">
        <v>228</v>
      </c>
      <c r="B108" s="35"/>
      <c r="C108" s="23">
        <f>ROUND(IF(Forudsætn.!$B$157="x",Balance!C52*Forudsætn.!B154/12,IF(Forudsætn.!$B$158="x",Balance!C52*Forudsætn.!B154/4,IF(Forudsætn.!$B$159="x",Balance!C52*Forudsætn.!B154/2,IF(Forudsætn.!$B$160="x",Balance!C52*Forudsætn.!B154,0)))),0)</f>
        <v>0</v>
      </c>
      <c r="D108" s="23"/>
      <c r="E108" s="23">
        <f>ROUND(IF(Forudsætn.!$B$157="x",Balance!D52*Forudsætn.!C154/12,IF(Forudsætn.!$B$158="x",Balance!D52*Forudsætn.!C154/4,IF(Forudsætn.!$B$159="x",Balance!D52*Forudsætn.!C154/2,IF(Forudsætn.!$B$160="x",Balance!D52*Forudsætn.!C154,0)))),0)</f>
        <v>0</v>
      </c>
      <c r="F108" s="23"/>
      <c r="G108" s="23">
        <f>ROUND(IF(Forudsætn.!$B$157="x",Balance!E52*Forudsætn.!D154/12,IF(Forudsætn.!$B$158="x",Balance!E52*Forudsætn.!D154/4,IF(Forudsætn.!$B$159="x",Balance!E52*Forudsætn.!D154/2,IF(Forudsætn.!$B$160="x",Balance!E52*Forudsætn.!D154,0)))),0)</f>
        <v>0</v>
      </c>
      <c r="H108" s="23">
        <f t="shared" si="9"/>
        <v>0</v>
      </c>
      <c r="I108" s="23"/>
      <c r="J108" s="23"/>
      <c r="K108" s="23"/>
      <c r="L108" s="23"/>
      <c r="M108" s="86"/>
    </row>
    <row r="109" spans="1:14" ht="14" hidden="1" thickBot="1">
      <c r="A109" s="35" t="s">
        <v>229</v>
      </c>
      <c r="B109" s="35"/>
      <c r="C109" s="23">
        <f>ROUND(IF(Forudsætn.!$B$169="x",Balance!C53*Forudsætn.!B166/12,IF(Forudsætn.!$B$170="x",Balance!C53*Forudsætn.!B166/4,IF(Forudsætn.!$B$171="x",Balance!C53*Forudsætn.!B166/2,IF(Forudsætn.!$B$172="x",Balance!C53*Forudsætn.!B166,0)))),0)</f>
        <v>0</v>
      </c>
      <c r="D109" s="23"/>
      <c r="E109" s="23">
        <f>ROUND(IF(Forudsætn.!$B$169="x",Balance!D53*Forudsætn.!C166/12,IF(Forudsætn.!$B$170="x",Balance!D53*Forudsætn.!C166/4,IF(Forudsætn.!$B$171="x",Balance!D53*Forudsætn.!C166/2,IF(Forudsætn.!$B$172="x",Balance!D53*Forudsætn.!C166,0)))),0)</f>
        <v>0</v>
      </c>
      <c r="F109" s="23"/>
      <c r="G109" s="23">
        <f>ROUND(IF(Forudsætn.!$B$169="x",Balance!E53*Forudsætn.!D166/12,IF(Forudsætn.!$B$170="x",Balance!E53*Forudsætn.!D166/4,IF(Forudsætn.!$B$171="x",Balance!E53*Forudsætn.!D166/2,IF(Forudsætn.!$B$172="x",Balance!E53*Forudsætn.!D166,0)))),0)</f>
        <v>0</v>
      </c>
      <c r="H109" s="23">
        <f t="shared" si="9"/>
        <v>0</v>
      </c>
      <c r="I109" s="23"/>
      <c r="J109" s="23"/>
      <c r="K109" s="23"/>
      <c r="L109" s="23"/>
      <c r="M109" s="86"/>
    </row>
    <row r="110" spans="1:14" ht="14" hidden="1" thickBot="1">
      <c r="A110" s="35" t="s">
        <v>230</v>
      </c>
      <c r="B110" s="35"/>
      <c r="C110" s="23">
        <f>ROUND(IF(Forudsætn.!$B$181="x",Balance!C54*Forudsætn.!B178/12,IF(Forudsætn.!$B$182="x",Balance!C54*Forudsætn.!B178/4,IF(Forudsætn.!$B$183="x",Balance!C54*Forudsætn.!B178/2,IF(Forudsætn.!$B$184="x",Balance!C54*Forudsætn.!B178,0)))),0)</f>
        <v>0</v>
      </c>
      <c r="D110" s="23"/>
      <c r="E110" s="23">
        <f>ROUND(IF(Forudsætn.!$B$181="x",Balance!D54*Forudsætn.!C178/12,IF(Forudsætn.!$B$182="x",Balance!D54*Forudsætn.!C178/4,IF(Forudsætn.!$B$183="x",Balance!D54*Forudsætn.!C178/2,IF(Forudsætn.!$B$184="x",Balance!D54*Forudsætn.!C178,0)))),0)</f>
        <v>0</v>
      </c>
      <c r="F110" s="23"/>
      <c r="G110" s="23">
        <f>ROUND(IF(Forudsætn.!$B$181="x",Balance!E54*Forudsætn.!D178/12,IF(Forudsætn.!$B$182="x",Balance!E54*Forudsætn.!D178/4,IF(Forudsætn.!$B$183="x",Balance!E54*Forudsætn.!D178/2,IF(Forudsætn.!$B$184="x",Balance!E54*Forudsætn.!D178,0)))),0)</f>
        <v>0</v>
      </c>
      <c r="H110" s="23">
        <f t="shared" si="9"/>
        <v>0</v>
      </c>
      <c r="I110" s="23"/>
      <c r="J110" s="23"/>
      <c r="K110" s="23"/>
      <c r="L110" s="23"/>
      <c r="M110" s="86"/>
    </row>
    <row r="111" spans="1:14" s="105" customFormat="1" ht="15.5" hidden="1" customHeight="1">
      <c r="A111" s="105" t="s">
        <v>90</v>
      </c>
      <c r="C111" s="109">
        <f>ROUND(SUM(C105:C110),0)</f>
        <v>0</v>
      </c>
      <c r="D111" s="109"/>
      <c r="E111" s="109">
        <f>ROUND(SUM(E105:E110),0)</f>
        <v>0</v>
      </c>
      <c r="F111" s="109"/>
      <c r="G111" s="109">
        <f>ROUND(SUM(G105:G110),0)</f>
        <v>0</v>
      </c>
      <c r="H111" s="109">
        <f>ROUND(SUM(H105:H110),0)</f>
        <v>0</v>
      </c>
      <c r="I111" s="109"/>
      <c r="J111" s="109"/>
      <c r="K111" s="109"/>
      <c r="L111" s="109"/>
      <c r="M111" s="86"/>
      <c r="N111" s="87"/>
    </row>
    <row r="112" spans="1:14" ht="21" hidden="1" customHeight="1">
      <c r="A112" s="38" t="s">
        <v>89</v>
      </c>
      <c r="B112" s="38"/>
      <c r="C112" s="23">
        <f>IF(Forudsætn.!$E$10="x",-Beholdningsforskydn.!B30,IF(Forudsætn.!$E$11="x",-'Ind- og udbet.'!B37,0))</f>
        <v>0</v>
      </c>
      <c r="D112" s="23"/>
      <c r="E112" s="23">
        <f>IF(Forudsætn.!$E$10="x",-Beholdningsforskydn.!C30,IF(Forudsætn.!$E$11="x",-'Ind- og udbet.'!C37,0))</f>
        <v>0</v>
      </c>
      <c r="F112" s="23"/>
      <c r="G112" s="23">
        <f>IF(Forudsætn.!$E$10="x",-Beholdningsforskydn.!D30,IF(Forudsætn.!$E$11="x",-'Ind- og udbet.'!D37,0))</f>
        <v>0</v>
      </c>
      <c r="H112" s="23">
        <f>ROUND(SUM(C112:G112),0)</f>
        <v>0</v>
      </c>
      <c r="I112" s="23"/>
      <c r="J112" s="23"/>
      <c r="K112" s="23"/>
      <c r="L112" s="23"/>
      <c r="M112" s="86"/>
    </row>
    <row r="113" spans="1:14" s="105" customFormat="1" ht="15.5" hidden="1" customHeight="1">
      <c r="C113" s="109">
        <f t="shared" ref="C113:H113" si="10">ROUND(SUM(C111:C112),0)</f>
        <v>0</v>
      </c>
      <c r="D113" s="109"/>
      <c r="E113" s="109">
        <f t="shared" si="10"/>
        <v>0</v>
      </c>
      <c r="F113" s="109"/>
      <c r="G113" s="109">
        <f t="shared" si="10"/>
        <v>0</v>
      </c>
      <c r="H113" s="109">
        <f t="shared" si="10"/>
        <v>0</v>
      </c>
      <c r="I113" s="109"/>
      <c r="J113" s="109"/>
      <c r="K113" s="109"/>
      <c r="L113" s="109"/>
      <c r="M113" s="86"/>
      <c r="N113" s="87"/>
    </row>
    <row r="114" spans="1:14" ht="14" hidden="1" thickBot="1"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86"/>
    </row>
    <row r="115" spans="1:14" ht="16" thickBot="1">
      <c r="A115" s="209" t="s">
        <v>316</v>
      </c>
      <c r="B115" s="210"/>
      <c r="C115" s="211">
        <f>C18-C52-C62-C84</f>
        <v>-27110</v>
      </c>
      <c r="D115" s="211"/>
      <c r="E115" s="211">
        <f>E18-E52-E62-E84</f>
        <v>9630</v>
      </c>
      <c r="F115" s="211"/>
      <c r="G115" s="211">
        <f>G18-G52-G62-G84</f>
        <v>11330</v>
      </c>
      <c r="H115" s="208"/>
      <c r="I115" s="208"/>
      <c r="J115" s="214">
        <f>J18-J52-J62-J84</f>
        <v>55440</v>
      </c>
      <c r="K115" s="208"/>
      <c r="L115" s="214">
        <f>L18-L52-L62-L84</f>
        <v>53260</v>
      </c>
      <c r="M115" s="86"/>
    </row>
    <row r="116" spans="1:14">
      <c r="A116" s="85"/>
      <c r="B116" s="85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86"/>
    </row>
    <row r="117" spans="1:14">
      <c r="A117" s="85"/>
      <c r="B117" s="85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86"/>
    </row>
    <row r="118" spans="1:14">
      <c r="A118" s="85"/>
      <c r="B118" s="85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86"/>
    </row>
    <row r="119" spans="1:14">
      <c r="A119" s="85"/>
      <c r="B119" s="85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86"/>
    </row>
    <row r="120" spans="1:14">
      <c r="A120" s="98"/>
      <c r="B120" s="98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100"/>
    </row>
    <row r="121" spans="1:14" ht="16">
      <c r="A121" s="84"/>
      <c r="B121" s="84"/>
      <c r="C121" s="99"/>
      <c r="D121" s="99"/>
      <c r="E121" s="99"/>
      <c r="F121" s="99"/>
      <c r="G121" s="99"/>
      <c r="H121" s="99"/>
      <c r="I121" s="99"/>
      <c r="J121" s="99"/>
      <c r="K121" s="99"/>
      <c r="L121" s="99"/>
      <c r="M121" s="100"/>
    </row>
    <row r="122" spans="1:14">
      <c r="A122" s="86"/>
      <c r="B122" s="86"/>
      <c r="C122" s="99"/>
      <c r="D122" s="99"/>
      <c r="E122" s="99"/>
      <c r="F122" s="99"/>
      <c r="G122" s="99"/>
      <c r="H122" s="99"/>
      <c r="I122" s="99"/>
      <c r="J122" s="99"/>
      <c r="K122" s="99"/>
      <c r="L122" s="99"/>
      <c r="M122" s="100"/>
    </row>
    <row r="123" spans="1:14" s="105" customFormat="1">
      <c r="A123" s="86"/>
      <c r="B123" s="86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87"/>
      <c r="N123" s="87"/>
    </row>
    <row r="124" spans="1:14" s="105" customFormat="1">
      <c r="A124" s="86"/>
      <c r="B124" s="86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87"/>
      <c r="N124" s="87"/>
    </row>
    <row r="125" spans="1:14">
      <c r="A125" s="98"/>
      <c r="B125" s="98"/>
      <c r="C125" s="93"/>
      <c r="D125" s="93"/>
      <c r="E125" s="93"/>
      <c r="F125" s="93"/>
      <c r="G125" s="93"/>
      <c r="H125" s="99"/>
      <c r="I125" s="99"/>
      <c r="J125" s="99"/>
      <c r="K125" s="99"/>
      <c r="L125" s="99"/>
      <c r="M125" s="87"/>
    </row>
    <row r="126" spans="1:14">
      <c r="A126" s="85"/>
      <c r="B126" s="85"/>
      <c r="C126" s="94"/>
      <c r="D126" s="94"/>
      <c r="E126" s="94"/>
      <c r="F126" s="94"/>
      <c r="G126" s="94"/>
      <c r="H126" s="92"/>
      <c r="I126" s="92"/>
      <c r="J126" s="92"/>
      <c r="K126" s="92"/>
      <c r="L126" s="92"/>
      <c r="M126" s="100"/>
    </row>
    <row r="127" spans="1:14">
      <c r="A127" s="85"/>
      <c r="B127" s="85"/>
      <c r="C127" s="94"/>
      <c r="D127" s="94"/>
      <c r="E127" s="94"/>
      <c r="F127" s="94"/>
      <c r="G127" s="94"/>
      <c r="H127" s="92"/>
      <c r="I127" s="92"/>
      <c r="J127" s="92"/>
      <c r="K127" s="92"/>
      <c r="L127" s="92"/>
      <c r="M127" s="100"/>
    </row>
    <row r="128" spans="1:14">
      <c r="A128" s="85"/>
      <c r="B128" s="85"/>
      <c r="C128" s="94"/>
      <c r="D128" s="94"/>
      <c r="E128" s="94"/>
      <c r="F128" s="94"/>
      <c r="G128" s="94"/>
      <c r="H128" s="92"/>
      <c r="I128" s="92"/>
      <c r="J128" s="92"/>
      <c r="K128" s="92"/>
      <c r="L128" s="92"/>
      <c r="M128" s="100"/>
    </row>
    <row r="129" spans="1:14">
      <c r="A129" s="85"/>
      <c r="B129" s="85"/>
      <c r="C129" s="94"/>
      <c r="D129" s="94"/>
      <c r="E129" s="94"/>
      <c r="F129" s="94"/>
      <c r="G129" s="94"/>
      <c r="H129" s="92"/>
      <c r="I129" s="92"/>
      <c r="J129" s="92"/>
      <c r="K129" s="92"/>
      <c r="L129" s="92"/>
      <c r="M129" s="100"/>
    </row>
    <row r="130" spans="1:14">
      <c r="A130" s="85"/>
      <c r="B130" s="85"/>
      <c r="C130" s="94"/>
      <c r="D130" s="94"/>
      <c r="E130" s="94"/>
      <c r="F130" s="94"/>
      <c r="G130" s="94"/>
      <c r="H130" s="92"/>
      <c r="I130" s="92"/>
      <c r="J130" s="92"/>
      <c r="K130" s="92"/>
      <c r="L130" s="92"/>
      <c r="M130" s="100"/>
    </row>
    <row r="131" spans="1:14">
      <c r="A131" s="85"/>
      <c r="B131" s="85"/>
      <c r="C131" s="94"/>
      <c r="D131" s="94"/>
      <c r="E131" s="94"/>
      <c r="F131" s="94"/>
      <c r="G131" s="94"/>
      <c r="H131" s="92"/>
      <c r="I131" s="92"/>
      <c r="J131" s="92"/>
      <c r="K131" s="92"/>
      <c r="L131" s="92"/>
      <c r="M131" s="86"/>
    </row>
    <row r="132" spans="1:14" s="105" customFormat="1" ht="21.75" customHeight="1">
      <c r="A132" s="86"/>
      <c r="B132" s="86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86"/>
      <c r="N132" s="87"/>
    </row>
    <row r="133" spans="1:14">
      <c r="A133" s="86"/>
      <c r="B133" s="86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86"/>
    </row>
    <row r="134" spans="1:14">
      <c r="A134" s="85"/>
      <c r="B134" s="85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86"/>
    </row>
    <row r="135" spans="1:14">
      <c r="A135" s="98"/>
      <c r="B135" s="98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86"/>
    </row>
    <row r="136" spans="1:14">
      <c r="A136" s="85"/>
      <c r="B136" s="85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86"/>
    </row>
    <row r="137" spans="1:14">
      <c r="A137" s="85"/>
      <c r="B137" s="85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86"/>
    </row>
    <row r="138" spans="1:14">
      <c r="A138" s="85"/>
      <c r="B138" s="85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86"/>
    </row>
    <row r="139" spans="1:14">
      <c r="A139" s="85"/>
      <c r="B139" s="85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86"/>
    </row>
    <row r="140" spans="1:14">
      <c r="A140" s="85"/>
      <c r="B140" s="85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86"/>
    </row>
    <row r="141" spans="1:14">
      <c r="A141" s="85"/>
      <c r="B141" s="85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86"/>
    </row>
    <row r="142" spans="1:14">
      <c r="A142" s="85"/>
      <c r="B142" s="85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86"/>
    </row>
    <row r="143" spans="1:14">
      <c r="A143" s="85"/>
      <c r="B143" s="85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86"/>
    </row>
    <row r="144" spans="1:14">
      <c r="A144" s="85"/>
      <c r="B144" s="85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86"/>
    </row>
    <row r="145" spans="1:14">
      <c r="A145" s="85"/>
      <c r="B145" s="85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86"/>
    </row>
    <row r="146" spans="1:14">
      <c r="A146" s="85"/>
      <c r="B146" s="85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86"/>
    </row>
    <row r="147" spans="1:14">
      <c r="A147" s="85"/>
      <c r="B147" s="85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86"/>
    </row>
    <row r="148" spans="1:14">
      <c r="A148" s="85"/>
      <c r="B148" s="85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86"/>
    </row>
    <row r="149" spans="1:14">
      <c r="A149" s="85"/>
      <c r="B149" s="85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86"/>
    </row>
    <row r="150" spans="1:14">
      <c r="A150" s="85"/>
      <c r="B150" s="85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86"/>
    </row>
    <row r="151" spans="1:14">
      <c r="A151" s="85"/>
      <c r="B151" s="85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86"/>
    </row>
    <row r="152" spans="1:14">
      <c r="A152" s="85"/>
      <c r="B152" s="85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86"/>
    </row>
    <row r="153" spans="1:14">
      <c r="A153" s="85"/>
      <c r="B153" s="85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86"/>
    </row>
    <row r="154" spans="1:14">
      <c r="A154" s="85"/>
      <c r="B154" s="85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86"/>
    </row>
    <row r="155" spans="1:14">
      <c r="A155" s="85"/>
      <c r="B155" s="85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86"/>
    </row>
    <row r="156" spans="1:14" ht="21" customHeight="1">
      <c r="A156" s="86"/>
      <c r="B156" s="86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86"/>
    </row>
    <row r="157" spans="1:14">
      <c r="A157" s="86"/>
      <c r="B157" s="86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86"/>
    </row>
    <row r="158" spans="1:14" ht="16">
      <c r="A158" s="84"/>
      <c r="B158" s="84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86"/>
    </row>
    <row r="159" spans="1:14">
      <c r="A159" s="86"/>
      <c r="B159" s="86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86"/>
    </row>
    <row r="160" spans="1:14" s="105" customFormat="1">
      <c r="A160" s="86"/>
      <c r="B160" s="86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87"/>
      <c r="N160" s="87"/>
    </row>
    <row r="161" spans="1:13">
      <c r="A161" s="86"/>
      <c r="B161" s="86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86"/>
    </row>
    <row r="162" spans="1:13">
      <c r="A162" s="98"/>
      <c r="B162" s="98"/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86"/>
    </row>
    <row r="163" spans="1:13">
      <c r="A163" s="85"/>
      <c r="B163" s="85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86"/>
    </row>
    <row r="164" spans="1:13">
      <c r="A164" s="85"/>
      <c r="B164" s="85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86"/>
    </row>
    <row r="165" spans="1:13">
      <c r="A165" s="85"/>
      <c r="B165" s="85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86"/>
    </row>
    <row r="166" spans="1:13">
      <c r="A166" s="85"/>
      <c r="B166" s="85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86"/>
    </row>
    <row r="167" spans="1:13">
      <c r="A167" s="85"/>
      <c r="B167" s="85"/>
      <c r="C167" s="92"/>
      <c r="D167" s="92"/>
      <c r="E167" s="92"/>
      <c r="F167" s="92"/>
      <c r="G167" s="92"/>
      <c r="H167" s="92"/>
      <c r="I167" s="92"/>
      <c r="J167" s="92"/>
      <c r="K167" s="92"/>
      <c r="L167" s="92"/>
      <c r="M167" s="86"/>
    </row>
    <row r="168" spans="1:13">
      <c r="A168" s="85"/>
      <c r="B168" s="85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86"/>
    </row>
    <row r="169" spans="1:13">
      <c r="A169" s="85"/>
      <c r="B169" s="85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86"/>
    </row>
    <row r="170" spans="1:13">
      <c r="A170" s="85"/>
      <c r="B170" s="85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86"/>
    </row>
    <row r="171" spans="1:13">
      <c r="A171" s="85"/>
      <c r="B171" s="85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86"/>
    </row>
    <row r="172" spans="1:13">
      <c r="A172" s="85"/>
      <c r="B172" s="85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86"/>
    </row>
    <row r="173" spans="1:13">
      <c r="A173" s="85"/>
      <c r="B173" s="85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86"/>
    </row>
    <row r="174" spans="1:13">
      <c r="A174" s="85"/>
      <c r="B174" s="85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86"/>
    </row>
    <row r="175" spans="1:13">
      <c r="A175" s="85"/>
      <c r="B175" s="85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86"/>
    </row>
    <row r="176" spans="1:13">
      <c r="A176" s="85"/>
      <c r="B176" s="85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86"/>
    </row>
    <row r="177" spans="1:13">
      <c r="A177" s="85"/>
      <c r="B177" s="85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86"/>
    </row>
    <row r="178" spans="1:13">
      <c r="A178" s="85"/>
      <c r="B178" s="85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86"/>
    </row>
    <row r="179" spans="1:13">
      <c r="A179" s="85"/>
      <c r="B179" s="85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86"/>
    </row>
    <row r="180" spans="1:13">
      <c r="A180" s="85"/>
      <c r="B180" s="85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86"/>
    </row>
    <row r="181" spans="1:13">
      <c r="A181" s="85"/>
      <c r="B181" s="85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86"/>
    </row>
    <row r="182" spans="1:13">
      <c r="A182" s="85"/>
      <c r="B182" s="85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86"/>
    </row>
    <row r="183" spans="1:13">
      <c r="A183" s="85"/>
      <c r="B183" s="85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86"/>
    </row>
    <row r="184" spans="1:13">
      <c r="A184" s="85"/>
      <c r="B184" s="85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86"/>
    </row>
    <row r="185" spans="1:13">
      <c r="A185" s="85"/>
      <c r="B185" s="85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86"/>
    </row>
    <row r="186" spans="1:13" ht="21" customHeight="1">
      <c r="A186" s="86"/>
      <c r="B186" s="86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86"/>
    </row>
    <row r="187" spans="1:13">
      <c r="A187" s="85"/>
      <c r="B187" s="85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86"/>
    </row>
    <row r="188" spans="1:13">
      <c r="A188" s="85"/>
      <c r="B188" s="85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86"/>
    </row>
    <row r="189" spans="1:13">
      <c r="A189" s="86"/>
      <c r="B189" s="86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86"/>
    </row>
    <row r="190" spans="1:13">
      <c r="A190" s="85"/>
      <c r="B190" s="85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86"/>
    </row>
    <row r="191" spans="1:13">
      <c r="A191" s="85"/>
      <c r="B191" s="85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86"/>
    </row>
    <row r="192" spans="1:13" ht="21" customHeight="1">
      <c r="A192" s="85"/>
      <c r="B192" s="8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86"/>
    </row>
    <row r="193" spans="1:14">
      <c r="A193" s="85"/>
      <c r="B193" s="85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86"/>
    </row>
    <row r="194" spans="1:14" ht="16">
      <c r="A194" s="84"/>
      <c r="B194" s="84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86"/>
    </row>
    <row r="195" spans="1:14">
      <c r="A195" s="85"/>
      <c r="B195" s="85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86"/>
    </row>
    <row r="196" spans="1:14" s="105" customFormat="1">
      <c r="A196" s="86"/>
      <c r="B196" s="86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87"/>
      <c r="N196" s="87"/>
    </row>
    <row r="197" spans="1:14">
      <c r="A197" s="85"/>
      <c r="B197" s="85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86"/>
    </row>
    <row r="198" spans="1:14">
      <c r="A198" s="86"/>
      <c r="B198" s="86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86"/>
    </row>
    <row r="199" spans="1:14">
      <c r="A199" s="85"/>
      <c r="B199" s="85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86"/>
    </row>
    <row r="200" spans="1:14">
      <c r="A200" s="85"/>
      <c r="B200" s="85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86"/>
    </row>
    <row r="201" spans="1:14">
      <c r="A201" s="85"/>
      <c r="B201" s="85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86"/>
    </row>
    <row r="202" spans="1:14">
      <c r="A202" s="85"/>
      <c r="B202" s="85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86"/>
    </row>
    <row r="203" spans="1:14" s="105" customFormat="1" ht="21" customHeight="1">
      <c r="A203" s="86"/>
      <c r="B203" s="86"/>
      <c r="C203" s="102"/>
      <c r="D203" s="102"/>
      <c r="E203" s="95"/>
      <c r="F203" s="95"/>
      <c r="G203" s="95"/>
      <c r="H203" s="95"/>
      <c r="I203" s="95"/>
      <c r="J203" s="95"/>
      <c r="K203" s="95"/>
      <c r="L203" s="95"/>
      <c r="M203" s="86"/>
      <c r="N203" s="87"/>
    </row>
    <row r="204" spans="1:14" ht="21" customHeight="1">
      <c r="A204" s="85"/>
      <c r="B204" s="85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86"/>
    </row>
    <row r="205" spans="1:14" ht="21" customHeight="1">
      <c r="A205" s="86"/>
      <c r="B205" s="86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86"/>
    </row>
    <row r="206" spans="1:14">
      <c r="A206" s="85"/>
      <c r="B206" s="85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86"/>
    </row>
    <row r="207" spans="1:14">
      <c r="A207" s="85"/>
      <c r="B207" s="85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86"/>
    </row>
    <row r="208" spans="1:14">
      <c r="A208" s="86"/>
      <c r="B208" s="86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86"/>
    </row>
    <row r="209" spans="1:14">
      <c r="A209" s="85"/>
      <c r="B209" s="85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86"/>
    </row>
    <row r="210" spans="1:14">
      <c r="A210" s="85"/>
      <c r="B210" s="85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86"/>
    </row>
    <row r="211" spans="1:14">
      <c r="A211" s="85"/>
      <c r="B211" s="85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86"/>
    </row>
    <row r="212" spans="1:14">
      <c r="A212" s="85"/>
      <c r="B212" s="85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86"/>
    </row>
    <row r="213" spans="1:14">
      <c r="A213" s="85"/>
      <c r="B213" s="85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86"/>
    </row>
    <row r="214" spans="1:14" s="105" customFormat="1">
      <c r="A214" s="86"/>
      <c r="B214" s="86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86"/>
      <c r="N214" s="87"/>
    </row>
    <row r="215" spans="1:14" ht="21" customHeight="1">
      <c r="A215" s="85"/>
      <c r="B215" s="85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86"/>
    </row>
    <row r="216" spans="1:14" ht="21" customHeight="1">
      <c r="A216" s="86"/>
      <c r="B216" s="86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86"/>
    </row>
    <row r="217" spans="1:14">
      <c r="A217" s="85"/>
      <c r="B217" s="85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86"/>
    </row>
    <row r="218" spans="1:14">
      <c r="A218" s="85"/>
      <c r="B218" s="85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86"/>
    </row>
    <row r="219" spans="1:14">
      <c r="A219" s="85"/>
      <c r="B219" s="85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86"/>
    </row>
    <row r="220" spans="1:14">
      <c r="A220" s="85"/>
      <c r="B220" s="85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86"/>
    </row>
    <row r="221" spans="1:14" ht="16">
      <c r="A221" s="84"/>
      <c r="B221" s="84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86"/>
    </row>
    <row r="222" spans="1:14">
      <c r="A222" s="85"/>
      <c r="B222" s="85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86"/>
    </row>
    <row r="223" spans="1:14" s="105" customFormat="1">
      <c r="A223" s="86"/>
      <c r="B223" s="86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87"/>
      <c r="N223" s="87"/>
    </row>
    <row r="224" spans="1:14">
      <c r="A224" s="85"/>
      <c r="B224" s="85"/>
      <c r="C224" s="92"/>
      <c r="D224" s="92"/>
      <c r="E224" s="92"/>
      <c r="F224" s="92"/>
      <c r="G224" s="92"/>
      <c r="H224" s="92"/>
      <c r="I224" s="92"/>
      <c r="J224" s="92"/>
      <c r="K224" s="92"/>
      <c r="L224" s="92"/>
      <c r="M224" s="86"/>
    </row>
    <row r="225" spans="1:14">
      <c r="A225" s="86"/>
      <c r="B225" s="86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86"/>
    </row>
    <row r="226" spans="1:14" ht="21" customHeight="1">
      <c r="A226" s="85"/>
      <c r="B226" s="85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86"/>
    </row>
    <row r="227" spans="1:14" s="105" customFormat="1" ht="21" customHeight="1">
      <c r="A227" s="86"/>
      <c r="B227" s="86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86"/>
      <c r="N227" s="87"/>
    </row>
    <row r="228" spans="1:14">
      <c r="A228" s="85"/>
      <c r="B228" s="85"/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86"/>
    </row>
    <row r="229" spans="1:14">
      <c r="A229" s="85"/>
      <c r="B229" s="85"/>
      <c r="C229" s="92"/>
      <c r="D229" s="92"/>
      <c r="E229" s="92"/>
      <c r="F229" s="92"/>
      <c r="G229" s="92"/>
      <c r="H229" s="92"/>
      <c r="I229" s="92"/>
      <c r="J229" s="92"/>
      <c r="K229" s="92"/>
      <c r="L229" s="92"/>
      <c r="M229" s="86"/>
    </row>
    <row r="230" spans="1:14">
      <c r="A230" s="85"/>
      <c r="B230" s="85"/>
      <c r="C230" s="92"/>
      <c r="D230" s="92"/>
      <c r="E230" s="92"/>
      <c r="F230" s="92"/>
      <c r="G230" s="92"/>
      <c r="H230" s="92"/>
      <c r="I230" s="92"/>
      <c r="J230" s="92"/>
      <c r="K230" s="92"/>
      <c r="L230" s="92"/>
      <c r="M230" s="86"/>
    </row>
    <row r="231" spans="1:14">
      <c r="A231" s="85"/>
      <c r="B231" s="85"/>
      <c r="C231" s="92"/>
      <c r="D231" s="92"/>
      <c r="E231" s="92"/>
      <c r="F231" s="92"/>
      <c r="G231" s="92"/>
      <c r="H231" s="92"/>
      <c r="I231" s="92"/>
      <c r="J231" s="92"/>
      <c r="K231" s="92"/>
      <c r="L231" s="92"/>
      <c r="M231" s="86"/>
    </row>
    <row r="232" spans="1:14">
      <c r="A232" s="85"/>
      <c r="B232" s="85"/>
      <c r="C232" s="92"/>
      <c r="D232" s="92"/>
      <c r="E232" s="92"/>
      <c r="F232" s="92"/>
      <c r="G232" s="92"/>
      <c r="H232" s="92"/>
      <c r="I232" s="92"/>
      <c r="J232" s="92"/>
      <c r="K232" s="92"/>
      <c r="L232" s="92"/>
      <c r="M232" s="86"/>
    </row>
    <row r="233" spans="1:14">
      <c r="A233" s="85"/>
      <c r="B233" s="85"/>
      <c r="C233" s="92"/>
      <c r="D233" s="92"/>
      <c r="E233" s="92"/>
      <c r="F233" s="92"/>
      <c r="G233" s="92"/>
      <c r="H233" s="92"/>
      <c r="I233" s="92"/>
      <c r="J233" s="92"/>
      <c r="K233" s="92"/>
      <c r="L233" s="92"/>
      <c r="M233" s="86"/>
    </row>
    <row r="234" spans="1:14">
      <c r="A234" s="85"/>
      <c r="B234" s="85"/>
      <c r="C234" s="92"/>
      <c r="D234" s="92"/>
      <c r="E234" s="92"/>
      <c r="F234" s="92"/>
      <c r="G234" s="92"/>
      <c r="H234" s="92"/>
      <c r="I234" s="92"/>
      <c r="J234" s="92"/>
      <c r="K234" s="92"/>
      <c r="L234" s="92"/>
      <c r="M234" s="86"/>
    </row>
    <row r="235" spans="1:14">
      <c r="A235" s="85"/>
      <c r="B235" s="85"/>
      <c r="C235" s="92"/>
      <c r="D235" s="92"/>
      <c r="E235" s="92"/>
      <c r="F235" s="92"/>
      <c r="G235" s="92"/>
      <c r="H235" s="92"/>
      <c r="I235" s="92"/>
      <c r="J235" s="92"/>
      <c r="K235" s="92"/>
      <c r="L235" s="92"/>
      <c r="M235" s="86"/>
    </row>
    <row r="236" spans="1:14">
      <c r="A236" s="85"/>
      <c r="B236" s="85"/>
      <c r="C236" s="92"/>
      <c r="D236" s="92"/>
      <c r="E236" s="92"/>
      <c r="F236" s="92"/>
      <c r="G236" s="92"/>
      <c r="H236" s="92"/>
      <c r="I236" s="92"/>
      <c r="J236" s="92"/>
      <c r="K236" s="92"/>
      <c r="L236" s="92"/>
      <c r="M236" s="86"/>
    </row>
    <row r="237" spans="1:14">
      <c r="A237" s="85"/>
      <c r="B237" s="85"/>
      <c r="C237" s="92"/>
      <c r="D237" s="92"/>
      <c r="E237" s="92"/>
      <c r="F237" s="92"/>
      <c r="G237" s="92"/>
      <c r="H237" s="92"/>
      <c r="I237" s="92"/>
      <c r="J237" s="92"/>
      <c r="K237" s="92"/>
      <c r="L237" s="92"/>
      <c r="M237" s="86"/>
    </row>
    <row r="238" spans="1:14">
      <c r="A238" s="85"/>
      <c r="B238" s="85"/>
      <c r="C238" s="92"/>
      <c r="D238" s="92"/>
      <c r="E238" s="92"/>
      <c r="F238" s="92"/>
      <c r="G238" s="92"/>
      <c r="H238" s="92"/>
      <c r="I238" s="92"/>
      <c r="J238" s="92"/>
      <c r="K238" s="92"/>
      <c r="L238" s="92"/>
      <c r="M238" s="86"/>
    </row>
    <row r="239" spans="1:14">
      <c r="A239" s="85"/>
      <c r="B239" s="85"/>
      <c r="C239" s="92"/>
      <c r="D239" s="92"/>
      <c r="E239" s="92"/>
      <c r="F239" s="92"/>
      <c r="G239" s="92"/>
      <c r="H239" s="92"/>
      <c r="I239" s="92"/>
      <c r="J239" s="92"/>
      <c r="K239" s="92"/>
      <c r="L239" s="92"/>
      <c r="M239" s="86"/>
    </row>
    <row r="240" spans="1:14">
      <c r="A240" s="85"/>
      <c r="B240" s="85"/>
      <c r="C240" s="92"/>
      <c r="D240" s="92"/>
      <c r="E240" s="92"/>
      <c r="F240" s="92"/>
      <c r="G240" s="92"/>
      <c r="H240" s="92"/>
      <c r="I240" s="92"/>
      <c r="J240" s="92"/>
      <c r="K240" s="92"/>
      <c r="L240" s="92"/>
      <c r="M240" s="86"/>
    </row>
    <row r="241" spans="1:14" s="105" customFormat="1" ht="21" customHeight="1">
      <c r="A241" s="86"/>
      <c r="B241" s="86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86"/>
      <c r="N241" s="87"/>
    </row>
    <row r="242" spans="1:14" s="105" customFormat="1" ht="21" customHeight="1">
      <c r="A242" s="86"/>
      <c r="B242" s="86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86"/>
      <c r="N242" s="87"/>
    </row>
    <row r="243" spans="1:14">
      <c r="A243" s="85"/>
      <c r="B243" s="85"/>
      <c r="C243" s="92"/>
      <c r="D243" s="92"/>
      <c r="E243" s="92"/>
      <c r="F243" s="92"/>
      <c r="G243" s="92"/>
      <c r="H243" s="92"/>
      <c r="I243" s="92"/>
      <c r="J243" s="92"/>
      <c r="K243" s="92"/>
      <c r="L243" s="92"/>
      <c r="M243" s="86"/>
    </row>
    <row r="244" spans="1:14">
      <c r="A244" s="85"/>
      <c r="B244" s="85"/>
      <c r="C244" s="92"/>
      <c r="D244" s="92"/>
      <c r="E244" s="92"/>
      <c r="F244" s="92"/>
      <c r="G244" s="92"/>
      <c r="H244" s="92"/>
      <c r="I244" s="92"/>
      <c r="J244" s="92"/>
      <c r="K244" s="92"/>
      <c r="L244" s="92"/>
      <c r="M244" s="86"/>
    </row>
    <row r="245" spans="1:14">
      <c r="A245" s="85"/>
      <c r="B245" s="85"/>
      <c r="C245" s="92"/>
      <c r="D245" s="92"/>
      <c r="E245" s="92"/>
      <c r="F245" s="92"/>
      <c r="G245" s="92"/>
      <c r="H245" s="92"/>
      <c r="I245" s="92"/>
      <c r="J245" s="92"/>
      <c r="K245" s="92"/>
      <c r="L245" s="92"/>
      <c r="M245" s="86"/>
    </row>
    <row r="246" spans="1:14">
      <c r="A246" s="85"/>
      <c r="B246" s="85"/>
      <c r="C246" s="92"/>
      <c r="D246" s="92"/>
      <c r="E246" s="92"/>
      <c r="F246" s="92"/>
      <c r="G246" s="92"/>
      <c r="H246" s="92"/>
      <c r="I246" s="92"/>
      <c r="J246" s="92"/>
      <c r="K246" s="92"/>
      <c r="L246" s="92"/>
      <c r="M246" s="86"/>
    </row>
    <row r="247" spans="1:14">
      <c r="A247" s="85"/>
      <c r="B247" s="85"/>
      <c r="C247" s="92"/>
      <c r="D247" s="92"/>
      <c r="E247" s="92"/>
      <c r="F247" s="92"/>
      <c r="G247" s="92"/>
      <c r="H247" s="92"/>
      <c r="I247" s="92"/>
      <c r="J247" s="92"/>
      <c r="K247" s="92"/>
      <c r="L247" s="92"/>
      <c r="M247" s="86"/>
    </row>
    <row r="248" spans="1:14" ht="21" customHeight="1">
      <c r="A248" s="86"/>
      <c r="B248" s="86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86"/>
    </row>
    <row r="249" spans="1:14">
      <c r="A249" s="85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6"/>
    </row>
    <row r="250" spans="1:14">
      <c r="A250" s="85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6"/>
    </row>
    <row r="251" spans="1:14">
      <c r="A251" s="85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6"/>
    </row>
    <row r="252" spans="1:14">
      <c r="A252" s="85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6"/>
    </row>
    <row r="253" spans="1:14">
      <c r="A253" s="85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6"/>
    </row>
    <row r="254" spans="1:14">
      <c r="A254" s="85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6"/>
    </row>
    <row r="255" spans="1:14">
      <c r="A255" s="85"/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6"/>
    </row>
    <row r="256" spans="1:14">
      <c r="A256" s="85"/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6"/>
    </row>
    <row r="257" spans="1:13">
      <c r="A257" s="85"/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6"/>
    </row>
    <row r="258" spans="1:13">
      <c r="A258" s="85"/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6"/>
    </row>
    <row r="259" spans="1:13">
      <c r="A259" s="85"/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6"/>
    </row>
    <row r="260" spans="1:13">
      <c r="A260" s="85"/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6"/>
    </row>
    <row r="261" spans="1:13">
      <c r="A261" s="85"/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6"/>
    </row>
    <row r="262" spans="1:13">
      <c r="A262" s="85"/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6"/>
    </row>
    <row r="263" spans="1:13">
      <c r="A263" s="85"/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6"/>
    </row>
    <row r="264" spans="1:13">
      <c r="A264" s="85"/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6"/>
    </row>
    <row r="265" spans="1:13">
      <c r="A265" s="85"/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6"/>
    </row>
    <row r="266" spans="1:13">
      <c r="A266" s="85"/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6"/>
    </row>
  </sheetData>
  <phoneticPr fontId="24" type="noConversion"/>
  <pageMargins left="0.78740157480314965" right="0.78740157480314965" top="1.1811023622047245" bottom="0.78740157480314965" header="0.47244094488188981" footer="0.47244094488188981"/>
  <pageSetup paperSize="9" firstPageNumber="8" orientation="portrait" horizontalDpi="4294967292" verticalDpi="300"/>
  <headerFooter alignWithMargins="0">
    <oddFooter xml:space="preserve">&amp;C
</oddFooter>
  </headerFooter>
  <rowBreaks count="4" manualBreakCount="4">
    <brk id="119" max="16383" man="1"/>
    <brk id="156" max="16383" man="1"/>
    <brk id="192" max="16383" man="1"/>
    <brk id="21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 enableFormatConditionsCalculation="0"/>
  <dimension ref="A2:E40"/>
  <sheetViews>
    <sheetView topLeftCell="A4" workbookViewId="0">
      <selection activeCell="C13" sqref="C13"/>
    </sheetView>
  </sheetViews>
  <sheetFormatPr baseColWidth="10" defaultColWidth="8.6640625" defaultRowHeight="15" x14ac:dyDescent="0"/>
  <cols>
    <col min="1" max="1" width="33.1640625" style="15" customWidth="1"/>
    <col min="2" max="5" width="9.6640625" style="15" customWidth="1"/>
    <col min="6" max="6" width="4.83203125" style="15" customWidth="1"/>
    <col min="7" max="16384" width="8.6640625" style="15"/>
  </cols>
  <sheetData>
    <row r="2" spans="1:5" ht="16">
      <c r="A2" s="137" t="s">
        <v>275</v>
      </c>
    </row>
    <row r="4" spans="1:5" ht="16">
      <c r="A4" s="138"/>
      <c r="B4" s="5">
        <f>+Forudsætn.!B3</f>
        <v>2013</v>
      </c>
      <c r="C4" s="5">
        <f>+Forudsætn.!C3</f>
        <v>2014</v>
      </c>
      <c r="D4" s="5">
        <f>+Forudsætn.!D3</f>
        <v>2015</v>
      </c>
      <c r="E4" s="5" t="s">
        <v>119</v>
      </c>
    </row>
    <row r="5" spans="1:5">
      <c r="A5" s="139"/>
      <c r="B5" s="140"/>
      <c r="C5" s="141"/>
      <c r="D5" s="141"/>
    </row>
    <row r="6" spans="1:5">
      <c r="A6" s="142" t="s">
        <v>172</v>
      </c>
      <c r="B6" s="158">
        <f>ROUND(+Resultat!C18,0)</f>
        <v>-18350</v>
      </c>
      <c r="C6" s="158">
        <f>ROUND(+Resultat!D18,0)</f>
        <v>18550</v>
      </c>
      <c r="D6" s="158">
        <f>ROUND(+Resultat!E18,0)</f>
        <v>20450</v>
      </c>
      <c r="E6" s="158">
        <f>ROUND(SUM(B6:D6),0)</f>
        <v>20650</v>
      </c>
    </row>
    <row r="7" spans="1:5">
      <c r="A7" s="142" t="s">
        <v>173</v>
      </c>
      <c r="B7" s="159">
        <f>ROUND(Balance!C24-Balance!D24,0)</f>
        <v>25000</v>
      </c>
      <c r="C7" s="159">
        <f>ROUND(Balance!D24-Balance!E24,0)</f>
        <v>0</v>
      </c>
      <c r="D7" s="159">
        <f>ROUND(Balance!E24-Balance!F24,0)</f>
        <v>0</v>
      </c>
      <c r="E7" s="158">
        <f>ROUND(SUM(B7:D7),0)</f>
        <v>25000</v>
      </c>
    </row>
    <row r="8" spans="1:5">
      <c r="A8" s="142" t="s">
        <v>174</v>
      </c>
      <c r="B8" s="159">
        <f>ROUND(SUM(Balance!D60:D65)+Balance!D58-SUM(Balance!C60:C65)-Balance!C58,0)</f>
        <v>0</v>
      </c>
      <c r="C8" s="159">
        <f>ROUND(SUM(Balance!E60:E65)+Balance!E58-SUM(Balance!D60:D65)-Balance!D58,0)</f>
        <v>0</v>
      </c>
      <c r="D8" s="159">
        <f>ROUND(SUM(Balance!F60:F65)+Balance!F58-SUM(Balance!E60:E65)-Balance!E58,0)</f>
        <v>0</v>
      </c>
      <c r="E8" s="158">
        <f>ROUND(SUM(B8:D8),0)</f>
        <v>0</v>
      </c>
    </row>
    <row r="9" spans="1:5" ht="21" customHeight="1">
      <c r="A9" s="139" t="s">
        <v>175</v>
      </c>
      <c r="B9" s="160">
        <f>ROUND(SUM(B6:B8),0)</f>
        <v>6650</v>
      </c>
      <c r="C9" s="160">
        <f>ROUND(SUM(C6:C8),0)</f>
        <v>18550</v>
      </c>
      <c r="D9" s="160">
        <f>ROUND(SUM(D6:D8),0)</f>
        <v>20450</v>
      </c>
      <c r="E9" s="160">
        <f>ROUND(SUM(E6:E8),0)</f>
        <v>45650</v>
      </c>
    </row>
    <row r="10" spans="1:5">
      <c r="A10" s="142" t="str">
        <f>IF(E10&gt;0,"Nettorenteindbetalinger","Nettorenteudbetalinger")</f>
        <v>Nettorenteudbetalinger</v>
      </c>
      <c r="B10" s="159">
        <f>ROUND(Budget!C102-Budget!C111,0)</f>
        <v>0</v>
      </c>
      <c r="C10" s="159">
        <f>ROUND(Budget!E102-Budget!E111,0)</f>
        <v>0</v>
      </c>
      <c r="D10" s="159">
        <f>ROUND(Budget!G102-Budget!G111,0)</f>
        <v>0</v>
      </c>
      <c r="E10" s="158">
        <f>ROUND(SUM(B10:D10),0)</f>
        <v>0</v>
      </c>
    </row>
    <row r="11" spans="1:5" ht="21" customHeight="1">
      <c r="A11" s="139" t="s">
        <v>176</v>
      </c>
      <c r="B11" s="160">
        <f>ROUND(SUM(B9:B10),0)</f>
        <v>6650</v>
      </c>
      <c r="C11" s="160">
        <f>ROUND(SUM(C9:C10),0)</f>
        <v>18550</v>
      </c>
      <c r="D11" s="160">
        <f>ROUND(SUM(D9:D10),0)</f>
        <v>20450</v>
      </c>
      <c r="E11" s="160">
        <f>ROUND(SUM(E9:E10),0)</f>
        <v>45650</v>
      </c>
    </row>
    <row r="12" spans="1:5">
      <c r="A12" s="142"/>
      <c r="B12" s="161">
        <v>0</v>
      </c>
      <c r="C12" s="161">
        <v>0</v>
      </c>
      <c r="D12" s="161">
        <v>0</v>
      </c>
      <c r="E12" s="158">
        <f>ROUND(SUM(B12:D12),0)</f>
        <v>0</v>
      </c>
    </row>
    <row r="13" spans="1:5" ht="21" customHeight="1">
      <c r="A13" s="139" t="s">
        <v>239</v>
      </c>
      <c r="B13" s="160">
        <f>ROUND(SUM(B11:B12),0)</f>
        <v>6650</v>
      </c>
      <c r="C13" s="160">
        <f>ROUND(SUM(C11:C12),0)</f>
        <v>18550</v>
      </c>
      <c r="D13" s="160">
        <f>ROUND(SUM(D11:D12),0)</f>
        <v>20450</v>
      </c>
      <c r="E13" s="160">
        <f>ROUND(SUM(E11:E12),0)</f>
        <v>45650</v>
      </c>
    </row>
    <row r="14" spans="1:5">
      <c r="A14" s="139"/>
      <c r="B14" s="162"/>
      <c r="C14" s="162"/>
      <c r="D14" s="162"/>
      <c r="E14" s="162"/>
    </row>
    <row r="15" spans="1:5" hidden="1">
      <c r="A15" s="174" t="s">
        <v>28</v>
      </c>
      <c r="B15" s="158">
        <f>ROUND(-Budget!C94,0)</f>
        <v>0</v>
      </c>
      <c r="C15" s="158">
        <f>ROUND(-Budget!E94,0)</f>
        <v>0</v>
      </c>
      <c r="D15" s="158">
        <f>ROUND(-Budget!G94,0)</f>
        <v>0</v>
      </c>
      <c r="E15" s="158">
        <f>ROUND(SUM(B15:D15),0)</f>
        <v>0</v>
      </c>
    </row>
    <row r="16" spans="1:5" hidden="1">
      <c r="A16" s="123" t="s">
        <v>164</v>
      </c>
      <c r="B16" s="165">
        <f>ROUND(-Forudsætn.!B25+Forudsætn.!B36-Forudsætn.!B45+Forudsætn.!B56,0)</f>
        <v>0</v>
      </c>
      <c r="C16" s="165">
        <f>ROUND(-Forudsætn.!C25+Forudsætn.!C36-Forudsætn.!C45+Forudsætn.!C56,0)</f>
        <v>0</v>
      </c>
      <c r="D16" s="165">
        <f>ROUND(-Forudsætn.!D25+Forudsætn.!D36-Forudsætn.!D45+Forudsætn.!D56,0)</f>
        <v>0</v>
      </c>
      <c r="E16" s="158">
        <f>ROUND(SUM(B16:D16),0)</f>
        <v>0</v>
      </c>
    </row>
    <row r="17" spans="1:5" hidden="1">
      <c r="A17" s="123" t="s">
        <v>163</v>
      </c>
      <c r="B17" s="165">
        <f>ROUND(-Forudsætn.!B63+Forudsætn.!B74-Forudsætn.!B83+Forudsætn.!B94-Forudsætn.!B101+Forudsætn.!B112,0)</f>
        <v>0</v>
      </c>
      <c r="C17" s="165">
        <f>ROUND(-Forudsætn.!C63+Forudsætn.!C74-Forudsætn.!C83+Forudsætn.!C94-Forudsætn.!C101+Forudsætn.!C112,0)</f>
        <v>0</v>
      </c>
      <c r="D17" s="165">
        <f>ROUND(-Forudsætn.!D63+Forudsætn.!D74-Forudsætn.!D83+Forudsætn.!D94-Forudsætn.!D101+Forudsætn.!D112,0)</f>
        <v>0</v>
      </c>
      <c r="E17" s="158">
        <f>ROUND(SUM(B17:D17),0)</f>
        <v>0</v>
      </c>
    </row>
    <row r="18" spans="1:5" hidden="1">
      <c r="A18" s="174" t="s">
        <v>177</v>
      </c>
      <c r="B18" s="158">
        <f>-ROUND(Balance!D16-Balance!C16,0)</f>
        <v>0</v>
      </c>
      <c r="C18" s="158">
        <f>-ROUND(Balance!E16-Balance!D16,0)</f>
        <v>0</v>
      </c>
      <c r="D18" s="158">
        <f>-ROUND(Balance!F16-Balance!E16,0)</f>
        <v>0</v>
      </c>
      <c r="E18" s="158">
        <f>ROUND(SUM(B18:D18),0)</f>
        <v>0</v>
      </c>
    </row>
    <row r="19" spans="1:5" ht="21" customHeight="1">
      <c r="A19" s="139" t="s">
        <v>240</v>
      </c>
      <c r="B19" s="160">
        <f>ROUND(SUM(B15:B18),0)</f>
        <v>0</v>
      </c>
      <c r="C19" s="160">
        <f>ROUND(SUM(C15:C18),0)</f>
        <v>0</v>
      </c>
      <c r="D19" s="160">
        <f>ROUND(SUM(D15:D18),0)</f>
        <v>0</v>
      </c>
      <c r="E19" s="160">
        <f>ROUND(SUM(E15:E18),0)</f>
        <v>0</v>
      </c>
    </row>
    <row r="20" spans="1:5">
      <c r="A20" s="139"/>
      <c r="B20" s="163"/>
      <c r="C20" s="163"/>
      <c r="D20" s="163"/>
      <c r="E20" s="162"/>
    </row>
    <row r="21" spans="1:5" hidden="1">
      <c r="A21" s="142" t="s">
        <v>178</v>
      </c>
      <c r="B21" s="165">
        <f>-ROUND(Forudsætn.!B130+Forudsætn.!B142+Forudsætn.!B155+Forudsætn.!B167+Forudsætn.!B179-SUM(Budget!C106:'Budget'!C110),0)</f>
        <v>0</v>
      </c>
      <c r="C21" s="165">
        <f>-ROUND(Forudsætn.!C130+Forudsætn.!C142+Forudsætn.!C155+Forudsætn.!C167+Forudsætn.!C179-SUM(Budget!E106:'Budget'!E110),0)</f>
        <v>0</v>
      </c>
      <c r="D21" s="165">
        <f>-ROUND(Forudsætn.!D130+Forudsætn.!D142+Forudsætn.!D155+Forudsætn.!D167+Forudsætn.!D179-SUM(Budget!G106:'Budget'!G110),0)</f>
        <v>0</v>
      </c>
      <c r="E21" s="158">
        <f>ROUND(SUM(B21:D21),0)</f>
        <v>0</v>
      </c>
    </row>
    <row r="22" spans="1:5" hidden="1">
      <c r="A22" s="142" t="s">
        <v>179</v>
      </c>
      <c r="B22" s="158">
        <v>0</v>
      </c>
      <c r="C22" s="158">
        <v>0</v>
      </c>
      <c r="D22" s="158">
        <v>0</v>
      </c>
      <c r="E22" s="158">
        <f>ROUND(SUM(B22:D22),0)</f>
        <v>0</v>
      </c>
    </row>
    <row r="23" spans="1:5" hidden="1">
      <c r="A23" s="142" t="s">
        <v>42</v>
      </c>
      <c r="B23" s="158">
        <f>-ROUND(+Balance!C44-Balance!D44+Balance!C66-Balance!D66,0)</f>
        <v>0</v>
      </c>
      <c r="C23" s="158">
        <f>-ROUND(+Balance!D44-Balance!E44+Balance!D66-Balance!E66,0)</f>
        <v>0</v>
      </c>
      <c r="D23" s="158">
        <f>-ROUND(+Balance!E44-Balance!F44+Balance!E66-Balance!F66,0)</f>
        <v>0</v>
      </c>
      <c r="E23" s="158">
        <f>ROUND(SUM(B23:D23),0)</f>
        <v>0</v>
      </c>
    </row>
    <row r="24" spans="1:5" ht="21" customHeight="1">
      <c r="A24" s="139" t="s">
        <v>241</v>
      </c>
      <c r="B24" s="160">
        <f>ROUND(SUM(B20:B23),0)</f>
        <v>0</v>
      </c>
      <c r="C24" s="160">
        <f>ROUND(SUM(C20:C23),0)</f>
        <v>0</v>
      </c>
      <c r="D24" s="160">
        <f>ROUND(SUM(D20:D23),0)</f>
        <v>0</v>
      </c>
      <c r="E24" s="160">
        <f>ROUND(SUM(E21:E23),0)</f>
        <v>0</v>
      </c>
    </row>
    <row r="25" spans="1:5">
      <c r="A25" s="139"/>
      <c r="B25" s="158"/>
      <c r="C25" s="158"/>
      <c r="D25" s="158"/>
      <c r="E25" s="162"/>
    </row>
    <row r="26" spans="1:5">
      <c r="A26" s="139" t="s">
        <v>180</v>
      </c>
      <c r="B26" s="162">
        <f>ROUND(B13+B19+B24,0)</f>
        <v>6650</v>
      </c>
      <c r="C26" s="162">
        <f>ROUND(C13+C19+C24,0)</f>
        <v>18550</v>
      </c>
      <c r="D26" s="162">
        <f>ROUND(D13+D19+D24,0)</f>
        <v>20450</v>
      </c>
      <c r="E26" s="162">
        <f>ROUND(E13+E19+E24,0)</f>
        <v>45650</v>
      </c>
    </row>
    <row r="27" spans="1:5" ht="21" customHeight="1">
      <c r="A27" s="142" t="s">
        <v>43</v>
      </c>
      <c r="B27" s="158">
        <f>-Balance!C57+Balance!C26</f>
        <v>159455</v>
      </c>
      <c r="C27" s="158">
        <f>+B31</f>
        <v>166105</v>
      </c>
      <c r="D27" s="158">
        <f>+C31</f>
        <v>184655</v>
      </c>
      <c r="E27" s="158"/>
    </row>
    <row r="28" spans="1:5">
      <c r="A28" s="142" t="s">
        <v>46</v>
      </c>
      <c r="B28" s="158">
        <f>Balance!C27-Balance!D27</f>
        <v>0</v>
      </c>
      <c r="C28" s="158">
        <f>Balance!D27-Balance!E27</f>
        <v>0</v>
      </c>
      <c r="D28" s="158">
        <f>Balance!E27-Balance!F27</f>
        <v>0</v>
      </c>
      <c r="E28" s="158"/>
    </row>
    <row r="29" spans="1:5" ht="21" customHeight="1">
      <c r="A29" s="143" t="s">
        <v>135</v>
      </c>
      <c r="B29" s="160">
        <f>ROUND(SUM(B26:B28),0)</f>
        <v>166105</v>
      </c>
      <c r="C29" s="160">
        <f>ROUND(SUM(C26:C28),0)</f>
        <v>184655</v>
      </c>
      <c r="D29" s="160">
        <f>ROUND(SUM(D26:D28),0)</f>
        <v>205105</v>
      </c>
      <c r="E29" s="160"/>
    </row>
    <row r="30" spans="1:5">
      <c r="A30" s="15" t="s">
        <v>129</v>
      </c>
      <c r="B30" s="164">
        <f>ROUND(IF(Forudsætn.!$B$120="x",IF((B27+B29)&gt;0,(B27+B29)/2*Forudsætn.!B117/12,(B27+B29)/2*Forudsætn.!B118/12),IF(Forudsætn.!$B$121="x",IF((B27+B29)&gt;0,(B27+B29)/2*Forudsætn.!B117/4,(B27+B29)/2*Forudsætn.!B118/4),IF(Forudsætn.!$B$122="x",IF((B27+B29)&gt;0,(B27+B29)/2*Forudsætn.!B117/2,(B27+B29)/2*Forudsætn.!B118/2),IF(Forudsætn.!$B$123="x",IF((B27+B29)&gt;0,(B27+B29)/2*Forudsætn.!B117,(B27+B29)/2*Forudsætn.!B118),0)))),0)</f>
        <v>0</v>
      </c>
      <c r="C30" s="164">
        <f>ROUND(IF(Forudsætn.!$B$120="x",IF((C27+C29)&gt;0,(C27+C29)/2*Forudsætn.!C117/12,(C27+C29)/2*Forudsætn.!C118/12),IF(Forudsætn.!$B$121="x",IF((C27+C29)&gt;0,(C27+C29)/2*Forudsætn.!C117/4,(C27+C29)/2*Forudsætn.!C118/4),IF(Forudsætn.!$B$122="x",IF((C27+C29)&gt;0,(C27+C29)/2*Forudsætn.!C117/2,(C27+C29)/2*Forudsætn.!C118/2),IF(Forudsætn.!$B$123="x",IF((C27+C29)&gt;0,(C27+C29)/2*Forudsætn.!C117,(C27+C29)/2*Forudsætn.!C118),0)))),0)</f>
        <v>0</v>
      </c>
      <c r="D30" s="164">
        <f>ROUND(IF(Forudsætn.!$B$120="x",IF((D27+D29)&gt;0,(D27+D29)/2*Forudsætn.!D117/12,(D27+D29)/2*Forudsætn.!D118/12),IF(Forudsætn.!$B$121="x",IF((D27+D29)&gt;0,(D27+D29)/2*Forudsætn.!D117/4,(D27+D29)/2*Forudsætn.!D118/4),IF(Forudsætn.!$B$122="x",IF((D27+D29)&gt;0,(D27+D29)/2*Forudsætn.!D117/2,(D27+D29)/2*Forudsætn.!D118/2),IF(Forudsætn.!$B$123="x",IF((D27+D29)&gt;0,(D27+D29)/2*Forudsætn.!D117,(D27+D29)/2*Forudsætn.!D118),0)))),0)</f>
        <v>0</v>
      </c>
      <c r="E30" s="158"/>
    </row>
    <row r="31" spans="1:5" ht="21" customHeight="1">
      <c r="A31" s="37" t="s">
        <v>57</v>
      </c>
      <c r="B31" s="160">
        <f>ROUND(SUM(B29:B30),0)</f>
        <v>166105</v>
      </c>
      <c r="C31" s="160">
        <f>ROUND(SUM(C29:C30),0)</f>
        <v>184655</v>
      </c>
      <c r="D31" s="160">
        <f>ROUND(SUM(D29:D30),0)</f>
        <v>205105</v>
      </c>
      <c r="E31" s="160"/>
    </row>
    <row r="32" spans="1:5">
      <c r="B32" s="164"/>
      <c r="C32" s="164"/>
      <c r="D32" s="164"/>
      <c r="E32" s="164"/>
    </row>
    <row r="33" spans="2:5">
      <c r="B33" s="164"/>
      <c r="C33" s="164"/>
      <c r="D33" s="164"/>
      <c r="E33" s="164"/>
    </row>
    <row r="34" spans="2:5">
      <c r="B34" s="164"/>
      <c r="C34" s="164"/>
      <c r="D34" s="164"/>
      <c r="E34" s="164"/>
    </row>
    <row r="35" spans="2:5">
      <c r="B35" s="164"/>
      <c r="C35" s="164"/>
      <c r="D35" s="164"/>
      <c r="E35" s="164"/>
    </row>
    <row r="36" spans="2:5">
      <c r="B36" s="164"/>
      <c r="C36" s="164"/>
      <c r="D36" s="164"/>
      <c r="E36" s="164"/>
    </row>
    <row r="37" spans="2:5">
      <c r="B37" s="164"/>
      <c r="C37" s="164"/>
      <c r="D37" s="164"/>
      <c r="E37" s="164"/>
    </row>
    <row r="38" spans="2:5">
      <c r="B38" s="164"/>
      <c r="C38" s="164"/>
      <c r="D38" s="164"/>
      <c r="E38" s="164"/>
    </row>
    <row r="39" spans="2:5">
      <c r="B39" s="164"/>
      <c r="C39" s="164"/>
      <c r="D39" s="164"/>
      <c r="E39" s="164"/>
    </row>
    <row r="40" spans="2:5">
      <c r="B40" s="164"/>
      <c r="C40" s="164"/>
      <c r="D40" s="164"/>
      <c r="E40" s="164"/>
    </row>
  </sheetData>
  <phoneticPr fontId="24" type="noConversion"/>
  <pageMargins left="0.78740157480314965" right="0.78740157480314965" top="1.1811023622047245" bottom="0.78740157480314965" header="0.47244094488188981" footer="0.47244094488188981"/>
  <pageSetup paperSize="9" scale="76" firstPageNumber="8" fitToHeight="100" orientation="portrait" horizontalDpi="4294967292" verticalDpi="300"/>
  <headerFooter alignWithMargins="0">
    <oddFooter xml:space="preserve">&amp;C
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 enableFormatConditionsCalculation="0"/>
  <dimension ref="A1:IV310"/>
  <sheetViews>
    <sheetView workbookViewId="0">
      <selection activeCell="D4" sqref="D4"/>
    </sheetView>
  </sheetViews>
  <sheetFormatPr baseColWidth="10" defaultColWidth="8.6640625" defaultRowHeight="15" x14ac:dyDescent="0"/>
  <cols>
    <col min="1" max="1" width="25.6640625" style="39" customWidth="1"/>
    <col min="2" max="13" width="9.6640625" style="39" customWidth="1"/>
    <col min="14" max="14" width="8.6640625" style="39" customWidth="1"/>
    <col min="15" max="15" width="8.6640625" style="73" customWidth="1"/>
    <col min="16" max="16" width="8.6640625" style="42" customWidth="1"/>
    <col min="17" max="16384" width="8.6640625" style="39"/>
  </cols>
  <sheetData>
    <row r="1" spans="1:16" ht="16">
      <c r="A1" s="22" t="s">
        <v>51</v>
      </c>
    </row>
    <row r="2" spans="1:16">
      <c r="A2" s="41" t="s">
        <v>274</v>
      </c>
      <c r="B2" s="41"/>
      <c r="C2" s="41"/>
      <c r="E2" s="41"/>
      <c r="G2" s="41"/>
    </row>
    <row r="3" spans="1:16" s="41" customFormat="1">
      <c r="B3" s="202">
        <v>2013</v>
      </c>
      <c r="C3" s="202">
        <v>2014</v>
      </c>
      <c r="D3" s="202">
        <v>2015</v>
      </c>
      <c r="E3" s="43" t="s">
        <v>231</v>
      </c>
      <c r="F3" s="43" t="s">
        <v>0</v>
      </c>
      <c r="G3" s="43" t="s">
        <v>232</v>
      </c>
      <c r="H3" s="43" t="s">
        <v>233</v>
      </c>
      <c r="I3" s="43" t="s">
        <v>234</v>
      </c>
      <c r="J3" s="43" t="s">
        <v>235</v>
      </c>
      <c r="K3" s="43" t="s">
        <v>236</v>
      </c>
      <c r="L3" s="43" t="s">
        <v>237</v>
      </c>
      <c r="M3" s="43" t="s">
        <v>238</v>
      </c>
      <c r="O3" s="113" t="s">
        <v>30</v>
      </c>
      <c r="P3" s="44"/>
    </row>
    <row r="4" spans="1:16" s="41" customFormat="1">
      <c r="A4" s="39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O4" s="113"/>
      <c r="P4" s="44"/>
    </row>
    <row r="5" spans="1:16" s="41" customFormat="1">
      <c r="A5" s="39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O5" s="113"/>
      <c r="P5" s="44"/>
    </row>
    <row r="6" spans="1:16" s="41" customFormat="1">
      <c r="A6" s="39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O6" s="113"/>
      <c r="P6" s="44"/>
    </row>
    <row r="7" spans="1:16" s="41" customFormat="1">
      <c r="A7" s="39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O7" s="113"/>
      <c r="P7" s="44"/>
    </row>
    <row r="8" spans="1:16" s="41" customFormat="1">
      <c r="A8" s="41" t="s">
        <v>167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O8" s="113"/>
      <c r="P8" s="44"/>
    </row>
    <row r="9" spans="1:16" s="41" customFormat="1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O9" s="113"/>
      <c r="P9" s="44"/>
    </row>
    <row r="10" spans="1:16" s="41" customFormat="1">
      <c r="A10" s="146" t="s">
        <v>168</v>
      </c>
      <c r="B10" s="147"/>
      <c r="C10" s="147"/>
      <c r="D10" s="148" t="s">
        <v>169</v>
      </c>
      <c r="E10" s="144" t="s">
        <v>127</v>
      </c>
      <c r="F10" s="150" t="s">
        <v>170</v>
      </c>
      <c r="G10" s="147"/>
      <c r="H10" s="147"/>
      <c r="I10" s="147"/>
      <c r="J10" s="151" t="str">
        <f>IF(E11="X","HUSK AT SKJULE DENNE MODEL","")</f>
        <v/>
      </c>
      <c r="K10" s="147"/>
      <c r="L10" s="147"/>
      <c r="M10" s="152"/>
      <c r="O10" s="113"/>
      <c r="P10" s="44"/>
    </row>
    <row r="11" spans="1:16" s="41" customFormat="1">
      <c r="A11" s="156" t="str">
        <f>IF(E10="x","",IF(E11="X","","DER SKAL ANGIVES ET VALG HER!!!"))</f>
        <v/>
      </c>
      <c r="B11" s="149"/>
      <c r="C11" s="149"/>
      <c r="D11" s="149"/>
      <c r="E11" s="145"/>
      <c r="F11" s="153" t="s">
        <v>171</v>
      </c>
      <c r="G11" s="149"/>
      <c r="H11" s="149"/>
      <c r="I11" s="149"/>
      <c r="J11" s="154" t="str">
        <f>IF(E10="X","HUSK AT SKJULE DENNE MODEL","")</f>
        <v>HUSK AT SKJULE DENNE MODEL</v>
      </c>
      <c r="K11" s="149"/>
      <c r="L11" s="149"/>
      <c r="M11" s="155"/>
      <c r="O11" s="113"/>
      <c r="P11" s="44"/>
    </row>
    <row r="12" spans="1:16" s="41" customFormat="1"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O12" s="113"/>
      <c r="P12" s="44"/>
    </row>
    <row r="13" spans="1:16" s="41" customForma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O13" s="113"/>
      <c r="P13" s="44"/>
    </row>
    <row r="14" spans="1:16" s="41" customFormat="1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O14" s="113"/>
      <c r="P14" s="44"/>
    </row>
    <row r="15" spans="1:16" s="41" customFormat="1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O15" s="113"/>
      <c r="P15" s="44"/>
    </row>
    <row r="16" spans="1:16" s="41" customFormat="1"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O16" s="113"/>
      <c r="P16" s="44"/>
    </row>
    <row r="17" spans="1:16" s="41" customFormat="1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O17" s="113"/>
      <c r="P17" s="44"/>
    </row>
    <row r="18" spans="1:16" s="41" customFormat="1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O18" s="113"/>
      <c r="P18" s="44"/>
    </row>
    <row r="19" spans="1:16" s="41" customFormat="1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O19" s="113"/>
      <c r="P19" s="44"/>
    </row>
    <row r="20" spans="1:16" ht="14.25" customHeight="1">
      <c r="A20" s="41" t="s">
        <v>104</v>
      </c>
      <c r="B20" s="41"/>
      <c r="C20" s="41"/>
      <c r="D20" s="41" t="s">
        <v>106</v>
      </c>
      <c r="E20" s="41"/>
      <c r="F20" s="41"/>
      <c r="G20" s="41"/>
      <c r="H20" s="41"/>
      <c r="I20" s="41"/>
      <c r="J20" s="41"/>
      <c r="K20" s="41"/>
      <c r="L20" s="41"/>
      <c r="M20" s="41"/>
    </row>
    <row r="21" spans="1:16" ht="14.25" customHeight="1"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6" ht="14.25" customHeight="1">
      <c r="A22" s="46" t="s">
        <v>102</v>
      </c>
      <c r="B22" s="47">
        <v>0.2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9"/>
    </row>
    <row r="23" spans="1:16" s="27" customFormat="1">
      <c r="A23" s="50" t="s">
        <v>76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2"/>
      <c r="O23" s="43"/>
      <c r="P23" s="40"/>
    </row>
    <row r="24" spans="1:16" s="27" customFormat="1">
      <c r="A24" s="53" t="s">
        <v>94</v>
      </c>
      <c r="B24" s="54"/>
      <c r="C24" s="51">
        <f t="shared" ref="C24:M24" si="0">+B27</f>
        <v>0</v>
      </c>
      <c r="D24" s="51">
        <f t="shared" si="0"/>
        <v>0</v>
      </c>
      <c r="E24" s="51">
        <f t="shared" si="0"/>
        <v>0</v>
      </c>
      <c r="F24" s="51">
        <f t="shared" si="0"/>
        <v>0</v>
      </c>
      <c r="G24" s="51">
        <f t="shared" si="0"/>
        <v>0</v>
      </c>
      <c r="H24" s="51">
        <f t="shared" si="0"/>
        <v>0</v>
      </c>
      <c r="I24" s="51">
        <f t="shared" si="0"/>
        <v>0</v>
      </c>
      <c r="J24" s="51">
        <f t="shared" si="0"/>
        <v>0</v>
      </c>
      <c r="K24" s="51">
        <f t="shared" si="0"/>
        <v>0</v>
      </c>
      <c r="L24" s="51">
        <f t="shared" si="0"/>
        <v>0</v>
      </c>
      <c r="M24" s="52">
        <f t="shared" si="0"/>
        <v>0</v>
      </c>
      <c r="O24" s="114"/>
      <c r="P24" s="40"/>
    </row>
    <row r="25" spans="1:16" s="27" customFormat="1">
      <c r="A25" s="53" t="s">
        <v>95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  <c r="N25" s="39"/>
      <c r="O25" s="114" t="s">
        <v>59</v>
      </c>
      <c r="P25" s="40"/>
    </row>
    <row r="26" spans="1:16" s="27" customFormat="1">
      <c r="A26" s="53" t="s">
        <v>96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N26" s="39"/>
      <c r="O26" s="114"/>
      <c r="P26" s="40"/>
    </row>
    <row r="27" spans="1:16" s="27" customFormat="1">
      <c r="A27" s="53" t="s">
        <v>101</v>
      </c>
      <c r="B27" s="56">
        <f t="shared" ref="B27:M27" si="1">ROUND(SUM(B24:B26),0)</f>
        <v>0</v>
      </c>
      <c r="C27" s="56">
        <f t="shared" si="1"/>
        <v>0</v>
      </c>
      <c r="D27" s="56">
        <f t="shared" si="1"/>
        <v>0</v>
      </c>
      <c r="E27" s="56">
        <f t="shared" si="1"/>
        <v>0</v>
      </c>
      <c r="F27" s="56">
        <f t="shared" si="1"/>
        <v>0</v>
      </c>
      <c r="G27" s="56">
        <f t="shared" si="1"/>
        <v>0</v>
      </c>
      <c r="H27" s="56">
        <f t="shared" si="1"/>
        <v>0</v>
      </c>
      <c r="I27" s="56">
        <f t="shared" si="1"/>
        <v>0</v>
      </c>
      <c r="J27" s="56">
        <f t="shared" si="1"/>
        <v>0</v>
      </c>
      <c r="K27" s="56">
        <f t="shared" si="1"/>
        <v>0</v>
      </c>
      <c r="L27" s="56">
        <f t="shared" si="1"/>
        <v>0</v>
      </c>
      <c r="M27" s="57">
        <f t="shared" si="1"/>
        <v>0</v>
      </c>
      <c r="N27" s="28"/>
      <c r="O27" s="114"/>
      <c r="P27" s="40"/>
    </row>
    <row r="28" spans="1:16" s="27" customFormat="1">
      <c r="A28" s="53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2"/>
      <c r="O28" s="114"/>
      <c r="P28" s="40"/>
    </row>
    <row r="29" spans="1:16" s="27" customFormat="1">
      <c r="A29" s="53" t="s">
        <v>99</v>
      </c>
      <c r="B29" s="54"/>
      <c r="C29" s="51">
        <f t="shared" ref="C29:M29" si="2">+B32</f>
        <v>0</v>
      </c>
      <c r="D29" s="51">
        <f t="shared" si="2"/>
        <v>0</v>
      </c>
      <c r="E29" s="51">
        <f t="shared" si="2"/>
        <v>0</v>
      </c>
      <c r="F29" s="51">
        <f t="shared" si="2"/>
        <v>0</v>
      </c>
      <c r="G29" s="51">
        <f t="shared" si="2"/>
        <v>0</v>
      </c>
      <c r="H29" s="51">
        <f t="shared" si="2"/>
        <v>0</v>
      </c>
      <c r="I29" s="51">
        <f t="shared" si="2"/>
        <v>0</v>
      </c>
      <c r="J29" s="51">
        <f t="shared" si="2"/>
        <v>0</v>
      </c>
      <c r="K29" s="51">
        <f t="shared" si="2"/>
        <v>0</v>
      </c>
      <c r="L29" s="51">
        <f t="shared" si="2"/>
        <v>0</v>
      </c>
      <c r="M29" s="52">
        <f t="shared" si="2"/>
        <v>0</v>
      </c>
      <c r="O29" s="114"/>
      <c r="P29" s="40"/>
    </row>
    <row r="30" spans="1:16" s="27" customFormat="1" ht="15.75" customHeight="1">
      <c r="A30" s="53" t="s">
        <v>103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5"/>
      <c r="O30" s="114"/>
      <c r="P30" s="40"/>
    </row>
    <row r="31" spans="1:16" s="27" customFormat="1">
      <c r="A31" s="53" t="s">
        <v>98</v>
      </c>
      <c r="B31" s="58">
        <f t="shared" ref="B31:M31" si="3">ROUND(IF((B27-B29-B30)-B27*$B22/12&gt;0,B27*$B22/12,B27-B29-B30),0)</f>
        <v>0</v>
      </c>
      <c r="C31" s="58">
        <f t="shared" si="3"/>
        <v>0</v>
      </c>
      <c r="D31" s="58">
        <f t="shared" si="3"/>
        <v>0</v>
      </c>
      <c r="E31" s="58">
        <f t="shared" si="3"/>
        <v>0</v>
      </c>
      <c r="F31" s="58">
        <f t="shared" si="3"/>
        <v>0</v>
      </c>
      <c r="G31" s="58">
        <f t="shared" si="3"/>
        <v>0</v>
      </c>
      <c r="H31" s="58">
        <f t="shared" si="3"/>
        <v>0</v>
      </c>
      <c r="I31" s="58">
        <f t="shared" si="3"/>
        <v>0</v>
      </c>
      <c r="J31" s="58">
        <f t="shared" si="3"/>
        <v>0</v>
      </c>
      <c r="K31" s="58">
        <f t="shared" si="3"/>
        <v>0</v>
      </c>
      <c r="L31" s="58">
        <f t="shared" si="3"/>
        <v>0</v>
      </c>
      <c r="M31" s="176">
        <f t="shared" si="3"/>
        <v>0</v>
      </c>
      <c r="N31" s="39"/>
      <c r="O31" s="114"/>
      <c r="P31" s="40"/>
    </row>
    <row r="32" spans="1:16" s="27" customFormat="1" ht="15.75" customHeight="1">
      <c r="A32" s="53" t="s">
        <v>100</v>
      </c>
      <c r="B32" s="56">
        <f t="shared" ref="B32:M32" si="4">ROUND(SUM(B29:B31),0)</f>
        <v>0</v>
      </c>
      <c r="C32" s="56">
        <f t="shared" si="4"/>
        <v>0</v>
      </c>
      <c r="D32" s="56">
        <f t="shared" si="4"/>
        <v>0</v>
      </c>
      <c r="E32" s="59">
        <f t="shared" si="4"/>
        <v>0</v>
      </c>
      <c r="F32" s="56">
        <f t="shared" si="4"/>
        <v>0</v>
      </c>
      <c r="G32" s="56">
        <f t="shared" si="4"/>
        <v>0</v>
      </c>
      <c r="H32" s="56">
        <f t="shared" si="4"/>
        <v>0</v>
      </c>
      <c r="I32" s="56">
        <f t="shared" si="4"/>
        <v>0</v>
      </c>
      <c r="J32" s="56">
        <f t="shared" si="4"/>
        <v>0</v>
      </c>
      <c r="K32" s="56">
        <f t="shared" si="4"/>
        <v>0</v>
      </c>
      <c r="L32" s="56">
        <f t="shared" si="4"/>
        <v>0</v>
      </c>
      <c r="M32" s="57">
        <f t="shared" si="4"/>
        <v>0</v>
      </c>
      <c r="N32" s="28"/>
      <c r="O32" s="114"/>
      <c r="P32" s="40"/>
    </row>
    <row r="33" spans="1:16" s="27" customFormat="1">
      <c r="A33" s="53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2"/>
      <c r="O33" s="114"/>
      <c r="P33" s="40"/>
    </row>
    <row r="34" spans="1:16" s="28" customFormat="1" ht="14" customHeight="1">
      <c r="A34" s="177" t="s">
        <v>97</v>
      </c>
      <c r="B34" s="56">
        <f t="shared" ref="B34:M34" si="5">ROUND(B27-B32,0)</f>
        <v>0</v>
      </c>
      <c r="C34" s="56">
        <f t="shared" si="5"/>
        <v>0</v>
      </c>
      <c r="D34" s="56">
        <f t="shared" si="5"/>
        <v>0</v>
      </c>
      <c r="E34" s="56">
        <f t="shared" si="5"/>
        <v>0</v>
      </c>
      <c r="F34" s="56">
        <f t="shared" si="5"/>
        <v>0</v>
      </c>
      <c r="G34" s="56">
        <f t="shared" si="5"/>
        <v>0</v>
      </c>
      <c r="H34" s="56">
        <f t="shared" si="5"/>
        <v>0</v>
      </c>
      <c r="I34" s="56">
        <f t="shared" si="5"/>
        <v>0</v>
      </c>
      <c r="J34" s="56">
        <f t="shared" si="5"/>
        <v>0</v>
      </c>
      <c r="K34" s="56">
        <f t="shared" si="5"/>
        <v>0</v>
      </c>
      <c r="L34" s="56">
        <f t="shared" si="5"/>
        <v>0</v>
      </c>
      <c r="M34" s="57">
        <f t="shared" si="5"/>
        <v>0</v>
      </c>
      <c r="O34" s="114"/>
      <c r="P34" s="40"/>
    </row>
    <row r="35" spans="1:16" s="28" customFormat="1" ht="14" customHeight="1">
      <c r="A35" s="177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7"/>
      <c r="O35" s="114"/>
      <c r="P35" s="40"/>
    </row>
    <row r="36" spans="1:16" s="28" customFormat="1" ht="15.75" customHeight="1">
      <c r="A36" s="53" t="s">
        <v>213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5"/>
      <c r="O36" s="114" t="s">
        <v>58</v>
      </c>
      <c r="P36" s="40"/>
    </row>
    <row r="37" spans="1:16" s="28" customFormat="1" ht="15.75" customHeight="1">
      <c r="A37" s="60" t="s">
        <v>214</v>
      </c>
      <c r="B37" s="61">
        <f>ROUND(B36+B26-B30,0)</f>
        <v>0</v>
      </c>
      <c r="C37" s="61">
        <f t="shared" ref="C37:M37" si="6">ROUND(C36+C26-C30,0)</f>
        <v>0</v>
      </c>
      <c r="D37" s="61">
        <f t="shared" si="6"/>
        <v>0</v>
      </c>
      <c r="E37" s="61">
        <f t="shared" si="6"/>
        <v>0</v>
      </c>
      <c r="F37" s="61">
        <f t="shared" si="6"/>
        <v>0</v>
      </c>
      <c r="G37" s="61">
        <f t="shared" si="6"/>
        <v>0</v>
      </c>
      <c r="H37" s="61">
        <f t="shared" si="6"/>
        <v>0</v>
      </c>
      <c r="I37" s="61">
        <f t="shared" si="6"/>
        <v>0</v>
      </c>
      <c r="J37" s="61">
        <f t="shared" si="6"/>
        <v>0</v>
      </c>
      <c r="K37" s="61">
        <f t="shared" si="6"/>
        <v>0</v>
      </c>
      <c r="L37" s="61">
        <f t="shared" si="6"/>
        <v>0</v>
      </c>
      <c r="M37" s="62">
        <f t="shared" si="6"/>
        <v>0</v>
      </c>
      <c r="O37" s="114"/>
      <c r="P37" s="40"/>
    </row>
    <row r="38" spans="1:16" s="28" customFormat="1" ht="14" customHeight="1">
      <c r="O38" s="114"/>
      <c r="P38" s="40"/>
    </row>
    <row r="39" spans="1:16" s="28" customFormat="1" ht="14" customHeight="1">
      <c r="O39" s="114"/>
      <c r="P39" s="40"/>
    </row>
    <row r="40" spans="1:16" s="28" customFormat="1" ht="14" customHeight="1">
      <c r="A40" s="41" t="s">
        <v>105</v>
      </c>
      <c r="O40" s="114"/>
      <c r="P40" s="40"/>
    </row>
    <row r="41" spans="1:16" s="28" customFormat="1" ht="14" customHeight="1">
      <c r="O41" s="114"/>
      <c r="P41" s="40"/>
    </row>
    <row r="42" spans="1:16" ht="14" customHeight="1">
      <c r="A42" s="46" t="s">
        <v>102</v>
      </c>
      <c r="B42" s="47">
        <v>0.2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9"/>
    </row>
    <row r="43" spans="1:16" s="27" customFormat="1" ht="14" customHeight="1">
      <c r="A43" s="50" t="s">
        <v>93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2"/>
      <c r="O43" s="43"/>
      <c r="P43" s="40"/>
    </row>
    <row r="44" spans="1:16" s="27" customFormat="1" ht="14" customHeight="1">
      <c r="A44" s="53" t="s">
        <v>94</v>
      </c>
      <c r="B44" s="54"/>
      <c r="C44" s="51">
        <f t="shared" ref="C44:M44" si="7">+B47</f>
        <v>0</v>
      </c>
      <c r="D44" s="51">
        <f t="shared" si="7"/>
        <v>0</v>
      </c>
      <c r="E44" s="51">
        <f t="shared" si="7"/>
        <v>0</v>
      </c>
      <c r="F44" s="51">
        <f t="shared" si="7"/>
        <v>0</v>
      </c>
      <c r="G44" s="51">
        <f t="shared" si="7"/>
        <v>0</v>
      </c>
      <c r="H44" s="51">
        <f t="shared" si="7"/>
        <v>0</v>
      </c>
      <c r="I44" s="51">
        <f t="shared" si="7"/>
        <v>0</v>
      </c>
      <c r="J44" s="51">
        <f t="shared" si="7"/>
        <v>0</v>
      </c>
      <c r="K44" s="51">
        <f t="shared" si="7"/>
        <v>0</v>
      </c>
      <c r="L44" s="51">
        <f t="shared" si="7"/>
        <v>0</v>
      </c>
      <c r="M44" s="52">
        <f t="shared" si="7"/>
        <v>0</v>
      </c>
      <c r="O44" s="114"/>
      <c r="P44" s="40"/>
    </row>
    <row r="45" spans="1:16" s="27" customFormat="1" ht="14" customHeight="1">
      <c r="A45" s="53" t="s">
        <v>95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5"/>
      <c r="N45" s="39"/>
      <c r="O45" s="114" t="s">
        <v>59</v>
      </c>
      <c r="P45" s="40"/>
    </row>
    <row r="46" spans="1:16" s="27" customFormat="1" ht="14" customHeight="1">
      <c r="A46" s="53" t="s">
        <v>96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5"/>
      <c r="N46" s="39"/>
      <c r="O46" s="114"/>
      <c r="P46" s="40"/>
    </row>
    <row r="47" spans="1:16" s="27" customFormat="1" ht="14" customHeight="1">
      <c r="A47" s="53" t="s">
        <v>101</v>
      </c>
      <c r="B47" s="56">
        <f t="shared" ref="B47:M47" si="8">ROUND(SUM(B44:B46),0)</f>
        <v>0</v>
      </c>
      <c r="C47" s="56">
        <f t="shared" si="8"/>
        <v>0</v>
      </c>
      <c r="D47" s="56">
        <f t="shared" si="8"/>
        <v>0</v>
      </c>
      <c r="E47" s="56">
        <f t="shared" si="8"/>
        <v>0</v>
      </c>
      <c r="F47" s="56">
        <f t="shared" si="8"/>
        <v>0</v>
      </c>
      <c r="G47" s="56">
        <f t="shared" si="8"/>
        <v>0</v>
      </c>
      <c r="H47" s="56">
        <f t="shared" si="8"/>
        <v>0</v>
      </c>
      <c r="I47" s="56">
        <f t="shared" si="8"/>
        <v>0</v>
      </c>
      <c r="J47" s="56">
        <f t="shared" si="8"/>
        <v>0</v>
      </c>
      <c r="K47" s="56">
        <f t="shared" si="8"/>
        <v>0</v>
      </c>
      <c r="L47" s="56">
        <f t="shared" si="8"/>
        <v>0</v>
      </c>
      <c r="M47" s="57">
        <f t="shared" si="8"/>
        <v>0</v>
      </c>
      <c r="N47" s="28"/>
      <c r="O47" s="114"/>
      <c r="P47" s="40"/>
    </row>
    <row r="48" spans="1:16" s="27" customFormat="1" ht="14" customHeight="1">
      <c r="A48" s="53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2"/>
      <c r="O48" s="114"/>
      <c r="P48" s="40"/>
    </row>
    <row r="49" spans="1:256" s="27" customFormat="1" ht="14" customHeight="1">
      <c r="A49" s="53" t="s">
        <v>99</v>
      </c>
      <c r="B49" s="54"/>
      <c r="C49" s="51">
        <f t="shared" ref="C49:M49" si="9">+B52</f>
        <v>0</v>
      </c>
      <c r="D49" s="51">
        <f t="shared" si="9"/>
        <v>0</v>
      </c>
      <c r="E49" s="51">
        <f t="shared" si="9"/>
        <v>0</v>
      </c>
      <c r="F49" s="51">
        <f t="shared" si="9"/>
        <v>0</v>
      </c>
      <c r="G49" s="51">
        <f t="shared" si="9"/>
        <v>0</v>
      </c>
      <c r="H49" s="51">
        <f t="shared" si="9"/>
        <v>0</v>
      </c>
      <c r="I49" s="51">
        <f t="shared" si="9"/>
        <v>0</v>
      </c>
      <c r="J49" s="51">
        <f t="shared" si="9"/>
        <v>0</v>
      </c>
      <c r="K49" s="51">
        <f t="shared" si="9"/>
        <v>0</v>
      </c>
      <c r="L49" s="51">
        <f t="shared" si="9"/>
        <v>0</v>
      </c>
      <c r="M49" s="52">
        <f t="shared" si="9"/>
        <v>0</v>
      </c>
      <c r="O49" s="114"/>
      <c r="P49" s="40"/>
    </row>
    <row r="50" spans="1:256" s="27" customFormat="1" ht="14" customHeight="1">
      <c r="A50" s="53" t="s">
        <v>103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5"/>
      <c r="O50" s="114"/>
      <c r="P50" s="40"/>
    </row>
    <row r="51" spans="1:256" s="27" customFormat="1" ht="14" customHeight="1">
      <c r="A51" s="53" t="s">
        <v>98</v>
      </c>
      <c r="B51" s="58">
        <f t="shared" ref="B51:M51" si="10">ROUND(IF((B47-B49-B50)-B47*$B42/12&gt;0,B47*$B42/12,B47-B49-B50),0)</f>
        <v>0</v>
      </c>
      <c r="C51" s="58">
        <f t="shared" si="10"/>
        <v>0</v>
      </c>
      <c r="D51" s="58">
        <f t="shared" si="10"/>
        <v>0</v>
      </c>
      <c r="E51" s="58">
        <f t="shared" si="10"/>
        <v>0</v>
      </c>
      <c r="F51" s="58">
        <f t="shared" si="10"/>
        <v>0</v>
      </c>
      <c r="G51" s="58">
        <f t="shared" si="10"/>
        <v>0</v>
      </c>
      <c r="H51" s="58">
        <f t="shared" si="10"/>
        <v>0</v>
      </c>
      <c r="I51" s="58">
        <f t="shared" si="10"/>
        <v>0</v>
      </c>
      <c r="J51" s="58">
        <f t="shared" si="10"/>
        <v>0</v>
      </c>
      <c r="K51" s="58">
        <f t="shared" si="10"/>
        <v>0</v>
      </c>
      <c r="L51" s="58">
        <f t="shared" si="10"/>
        <v>0</v>
      </c>
      <c r="M51" s="176">
        <f t="shared" si="10"/>
        <v>0</v>
      </c>
      <c r="N51" s="39"/>
      <c r="O51" s="114"/>
      <c r="P51" s="40"/>
    </row>
    <row r="52" spans="1:256" s="27" customFormat="1" ht="14" customHeight="1">
      <c r="A52" s="53" t="s">
        <v>100</v>
      </c>
      <c r="B52" s="56">
        <f t="shared" ref="B52:M52" si="11">ROUND(SUM(B49:B51),0)</f>
        <v>0</v>
      </c>
      <c r="C52" s="56">
        <f t="shared" si="11"/>
        <v>0</v>
      </c>
      <c r="D52" s="56">
        <f t="shared" si="11"/>
        <v>0</v>
      </c>
      <c r="E52" s="56">
        <f t="shared" si="11"/>
        <v>0</v>
      </c>
      <c r="F52" s="56">
        <f t="shared" si="11"/>
        <v>0</v>
      </c>
      <c r="G52" s="56">
        <f t="shared" si="11"/>
        <v>0</v>
      </c>
      <c r="H52" s="56">
        <f t="shared" si="11"/>
        <v>0</v>
      </c>
      <c r="I52" s="56">
        <f t="shared" si="11"/>
        <v>0</v>
      </c>
      <c r="J52" s="56">
        <f t="shared" si="11"/>
        <v>0</v>
      </c>
      <c r="K52" s="56">
        <f t="shared" si="11"/>
        <v>0</v>
      </c>
      <c r="L52" s="56">
        <f t="shared" si="11"/>
        <v>0</v>
      </c>
      <c r="M52" s="57">
        <f t="shared" si="11"/>
        <v>0</v>
      </c>
      <c r="N52" s="28"/>
      <c r="O52" s="114"/>
      <c r="P52" s="40"/>
    </row>
    <row r="53" spans="1:256" s="27" customFormat="1" ht="14" customHeight="1">
      <c r="A53" s="53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2"/>
      <c r="O53" s="114"/>
      <c r="P53" s="40"/>
    </row>
    <row r="54" spans="1:256" s="28" customFormat="1" ht="14" customHeight="1">
      <c r="A54" s="177" t="s">
        <v>97</v>
      </c>
      <c r="B54" s="56">
        <f t="shared" ref="B54:M54" si="12">ROUND(B47-B52,0)</f>
        <v>0</v>
      </c>
      <c r="C54" s="56">
        <f t="shared" si="12"/>
        <v>0</v>
      </c>
      <c r="D54" s="56">
        <f t="shared" si="12"/>
        <v>0</v>
      </c>
      <c r="E54" s="56">
        <f t="shared" si="12"/>
        <v>0</v>
      </c>
      <c r="F54" s="56">
        <f t="shared" si="12"/>
        <v>0</v>
      </c>
      <c r="G54" s="56">
        <f t="shared" si="12"/>
        <v>0</v>
      </c>
      <c r="H54" s="56">
        <f t="shared" si="12"/>
        <v>0</v>
      </c>
      <c r="I54" s="56">
        <f t="shared" si="12"/>
        <v>0</v>
      </c>
      <c r="J54" s="56">
        <f t="shared" si="12"/>
        <v>0</v>
      </c>
      <c r="K54" s="56">
        <f t="shared" si="12"/>
        <v>0</v>
      </c>
      <c r="L54" s="56">
        <f t="shared" si="12"/>
        <v>0</v>
      </c>
      <c r="M54" s="57">
        <f t="shared" si="12"/>
        <v>0</v>
      </c>
      <c r="O54" s="114"/>
      <c r="P54" s="40"/>
    </row>
    <row r="55" spans="1:256" s="28" customFormat="1" ht="14" customHeight="1">
      <c r="A55" s="177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7"/>
      <c r="O55" s="114"/>
      <c r="P55" s="40"/>
    </row>
    <row r="56" spans="1:256" ht="15.75" customHeight="1">
      <c r="A56" s="53" t="s">
        <v>213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O56" s="113" t="s">
        <v>58</v>
      </c>
    </row>
    <row r="57" spans="1:256" ht="15.75" customHeight="1">
      <c r="A57" s="60" t="s">
        <v>214</v>
      </c>
      <c r="B57" s="61">
        <f t="shared" ref="B57:M57" si="13">ROUND(B56+B46-B50,0)</f>
        <v>0</v>
      </c>
      <c r="C57" s="61">
        <f t="shared" si="13"/>
        <v>0</v>
      </c>
      <c r="D57" s="61">
        <f t="shared" si="13"/>
        <v>0</v>
      </c>
      <c r="E57" s="61">
        <f t="shared" si="13"/>
        <v>0</v>
      </c>
      <c r="F57" s="61">
        <f t="shared" si="13"/>
        <v>0</v>
      </c>
      <c r="G57" s="61">
        <f t="shared" si="13"/>
        <v>0</v>
      </c>
      <c r="H57" s="61">
        <f t="shared" si="13"/>
        <v>0</v>
      </c>
      <c r="I57" s="61">
        <f t="shared" si="13"/>
        <v>0</v>
      </c>
      <c r="J57" s="61">
        <f t="shared" si="13"/>
        <v>0</v>
      </c>
      <c r="K57" s="61">
        <f t="shared" si="13"/>
        <v>0</v>
      </c>
      <c r="L57" s="61">
        <f t="shared" si="13"/>
        <v>0</v>
      </c>
      <c r="M57" s="62">
        <f t="shared" si="13"/>
        <v>0</v>
      </c>
      <c r="N57" s="41"/>
      <c r="O57" s="113"/>
      <c r="P57" s="44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GZ57" s="41"/>
      <c r="HA57" s="41"/>
      <c r="HB57" s="41"/>
      <c r="HC57" s="41"/>
      <c r="HD57" s="41"/>
      <c r="HE57" s="41"/>
      <c r="HF57" s="41"/>
      <c r="HG57" s="41"/>
      <c r="HH57" s="41"/>
      <c r="HI57" s="41"/>
      <c r="HJ57" s="41"/>
      <c r="HK57" s="41"/>
      <c r="HL57" s="41"/>
      <c r="HM57" s="41"/>
      <c r="HN57" s="41"/>
      <c r="HO57" s="41"/>
      <c r="HP57" s="41"/>
      <c r="HQ57" s="41"/>
      <c r="HR57" s="41"/>
      <c r="HS57" s="41"/>
      <c r="HT57" s="41"/>
      <c r="HU57" s="41"/>
      <c r="HV57" s="41"/>
      <c r="HW57" s="41"/>
      <c r="HX57" s="41"/>
      <c r="HY57" s="41"/>
      <c r="HZ57" s="41"/>
      <c r="IA57" s="41"/>
      <c r="IB57" s="41"/>
      <c r="IC57" s="41"/>
      <c r="ID57" s="41"/>
      <c r="IE57" s="41"/>
      <c r="IF57" s="41"/>
      <c r="IG57" s="41"/>
      <c r="IH57" s="41"/>
      <c r="II57" s="41"/>
      <c r="IJ57" s="41"/>
      <c r="IK57" s="41"/>
      <c r="IL57" s="41"/>
      <c r="IM57" s="41"/>
      <c r="IN57" s="41"/>
      <c r="IO57" s="41"/>
      <c r="IP57" s="41"/>
      <c r="IQ57" s="41"/>
      <c r="IR57" s="41"/>
      <c r="IS57" s="41"/>
      <c r="IT57" s="41"/>
      <c r="IU57" s="41"/>
      <c r="IV57" s="41"/>
    </row>
    <row r="58" spans="1:256" ht="14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113"/>
      <c r="P58" s="44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41"/>
      <c r="GV58" s="41"/>
      <c r="GW58" s="41"/>
      <c r="GX58" s="41"/>
      <c r="GY58" s="41"/>
      <c r="GZ58" s="41"/>
      <c r="HA58" s="41"/>
      <c r="HB58" s="41"/>
      <c r="HC58" s="41"/>
      <c r="HD58" s="41"/>
      <c r="HE58" s="41"/>
      <c r="HF58" s="41"/>
      <c r="HG58" s="41"/>
      <c r="HH58" s="41"/>
      <c r="HI58" s="41"/>
      <c r="HJ58" s="41"/>
      <c r="HK58" s="41"/>
      <c r="HL58" s="41"/>
      <c r="HM58" s="41"/>
      <c r="HN58" s="41"/>
      <c r="HO58" s="41"/>
      <c r="HP58" s="41"/>
      <c r="HQ58" s="41"/>
      <c r="HR58" s="41"/>
      <c r="HS58" s="41"/>
      <c r="HT58" s="41"/>
      <c r="HU58" s="41"/>
      <c r="HV58" s="41"/>
      <c r="HW58" s="41"/>
      <c r="HX58" s="41"/>
      <c r="HY58" s="41"/>
      <c r="HZ58" s="41"/>
      <c r="IA58" s="41"/>
      <c r="IB58" s="41"/>
      <c r="IC58" s="41"/>
      <c r="ID58" s="41"/>
      <c r="IE58" s="41"/>
      <c r="IF58" s="41"/>
      <c r="IG58" s="41"/>
      <c r="IH58" s="41"/>
      <c r="II58" s="41"/>
      <c r="IJ58" s="41"/>
      <c r="IK58" s="41"/>
      <c r="IL58" s="41"/>
      <c r="IM58" s="41"/>
      <c r="IN58" s="41"/>
      <c r="IO58" s="41"/>
      <c r="IP58" s="41"/>
      <c r="IQ58" s="41"/>
      <c r="IR58" s="41"/>
      <c r="IS58" s="41"/>
      <c r="IT58" s="41"/>
      <c r="IU58" s="41"/>
      <c r="IV58" s="41"/>
    </row>
    <row r="59" spans="1:256" s="41" customFormat="1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O59" s="113"/>
      <c r="P59" s="44"/>
    </row>
    <row r="60" spans="1:256" ht="14" customHeight="1">
      <c r="A60" s="46" t="s">
        <v>102</v>
      </c>
      <c r="B60" s="47">
        <v>0.02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9"/>
    </row>
    <row r="61" spans="1:256" s="27" customFormat="1" ht="14" customHeight="1">
      <c r="A61" s="50" t="s">
        <v>77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2"/>
      <c r="O61" s="43"/>
      <c r="P61" s="40"/>
    </row>
    <row r="62" spans="1:256" s="27" customFormat="1" ht="14" customHeight="1">
      <c r="A62" s="53" t="s">
        <v>94</v>
      </c>
      <c r="B62" s="54"/>
      <c r="C62" s="51">
        <f t="shared" ref="C62:M62" si="14">+B65</f>
        <v>0</v>
      </c>
      <c r="D62" s="51">
        <f t="shared" si="14"/>
        <v>0</v>
      </c>
      <c r="E62" s="51">
        <f t="shared" si="14"/>
        <v>0</v>
      </c>
      <c r="F62" s="51">
        <f t="shared" si="14"/>
        <v>0</v>
      </c>
      <c r="G62" s="51">
        <f t="shared" si="14"/>
        <v>0</v>
      </c>
      <c r="H62" s="51">
        <f t="shared" si="14"/>
        <v>0</v>
      </c>
      <c r="I62" s="51">
        <f t="shared" si="14"/>
        <v>0</v>
      </c>
      <c r="J62" s="51">
        <f t="shared" si="14"/>
        <v>0</v>
      </c>
      <c r="K62" s="51">
        <f t="shared" si="14"/>
        <v>0</v>
      </c>
      <c r="L62" s="51">
        <f t="shared" si="14"/>
        <v>0</v>
      </c>
      <c r="M62" s="52">
        <f t="shared" si="14"/>
        <v>0</v>
      </c>
      <c r="O62" s="114"/>
      <c r="P62" s="40"/>
    </row>
    <row r="63" spans="1:256" s="27" customFormat="1" ht="14" customHeight="1">
      <c r="A63" s="53" t="s">
        <v>95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5"/>
      <c r="N63" s="39"/>
      <c r="O63" s="114" t="s">
        <v>59</v>
      </c>
      <c r="P63" s="40"/>
    </row>
    <row r="64" spans="1:256" s="27" customFormat="1" ht="14" customHeight="1">
      <c r="A64" s="53" t="s">
        <v>96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5"/>
      <c r="N64" s="39"/>
      <c r="O64" s="114"/>
      <c r="P64" s="40"/>
    </row>
    <row r="65" spans="1:16" s="27" customFormat="1" ht="14" customHeight="1">
      <c r="A65" s="53" t="s">
        <v>101</v>
      </c>
      <c r="B65" s="56">
        <f t="shared" ref="B65:M65" si="15">ROUND(SUM(B62:B64),0)</f>
        <v>0</v>
      </c>
      <c r="C65" s="56">
        <f t="shared" si="15"/>
        <v>0</v>
      </c>
      <c r="D65" s="56">
        <f t="shared" si="15"/>
        <v>0</v>
      </c>
      <c r="E65" s="56">
        <f t="shared" si="15"/>
        <v>0</v>
      </c>
      <c r="F65" s="56">
        <f t="shared" si="15"/>
        <v>0</v>
      </c>
      <c r="G65" s="56">
        <f t="shared" si="15"/>
        <v>0</v>
      </c>
      <c r="H65" s="56">
        <f t="shared" si="15"/>
        <v>0</v>
      </c>
      <c r="I65" s="56">
        <f t="shared" si="15"/>
        <v>0</v>
      </c>
      <c r="J65" s="56">
        <f t="shared" si="15"/>
        <v>0</v>
      </c>
      <c r="K65" s="56">
        <f t="shared" si="15"/>
        <v>0</v>
      </c>
      <c r="L65" s="56">
        <f t="shared" si="15"/>
        <v>0</v>
      </c>
      <c r="M65" s="57">
        <f t="shared" si="15"/>
        <v>0</v>
      </c>
      <c r="N65" s="28"/>
      <c r="O65" s="114"/>
      <c r="P65" s="40"/>
    </row>
    <row r="66" spans="1:16" s="27" customFormat="1" ht="14" customHeight="1">
      <c r="A66" s="53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2"/>
      <c r="O66" s="114"/>
      <c r="P66" s="40"/>
    </row>
    <row r="67" spans="1:16" s="27" customFormat="1" ht="14" customHeight="1">
      <c r="A67" s="53" t="s">
        <v>99</v>
      </c>
      <c r="B67" s="54"/>
      <c r="C67" s="51">
        <f t="shared" ref="C67:M67" si="16">+B70</f>
        <v>0</v>
      </c>
      <c r="D67" s="51">
        <f t="shared" si="16"/>
        <v>0</v>
      </c>
      <c r="E67" s="51">
        <f t="shared" si="16"/>
        <v>0</v>
      </c>
      <c r="F67" s="51">
        <f t="shared" si="16"/>
        <v>0</v>
      </c>
      <c r="G67" s="51">
        <f t="shared" si="16"/>
        <v>0</v>
      </c>
      <c r="H67" s="51">
        <f t="shared" si="16"/>
        <v>0</v>
      </c>
      <c r="I67" s="51">
        <f t="shared" si="16"/>
        <v>0</v>
      </c>
      <c r="J67" s="51">
        <f t="shared" si="16"/>
        <v>0</v>
      </c>
      <c r="K67" s="51">
        <f t="shared" si="16"/>
        <v>0</v>
      </c>
      <c r="L67" s="51">
        <f t="shared" si="16"/>
        <v>0</v>
      </c>
      <c r="M67" s="52">
        <f t="shared" si="16"/>
        <v>0</v>
      </c>
      <c r="O67" s="114"/>
      <c r="P67" s="40"/>
    </row>
    <row r="68" spans="1:16" s="27" customFormat="1" ht="14" customHeight="1">
      <c r="A68" s="53" t="s">
        <v>103</v>
      </c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5"/>
      <c r="O68" s="114"/>
      <c r="P68" s="40"/>
    </row>
    <row r="69" spans="1:16" s="27" customFormat="1" ht="14" customHeight="1">
      <c r="A69" s="53" t="s">
        <v>98</v>
      </c>
      <c r="B69" s="58">
        <f t="shared" ref="B69:M69" si="17">ROUND(IF((B65-B67-B68)-B65*$B60/12&gt;0,B65*$B60/12,B65-B67-B68),0)</f>
        <v>0</v>
      </c>
      <c r="C69" s="58">
        <f t="shared" si="17"/>
        <v>0</v>
      </c>
      <c r="D69" s="58">
        <f t="shared" si="17"/>
        <v>0</v>
      </c>
      <c r="E69" s="58">
        <f t="shared" si="17"/>
        <v>0</v>
      </c>
      <c r="F69" s="58">
        <f t="shared" si="17"/>
        <v>0</v>
      </c>
      <c r="G69" s="58">
        <f t="shared" si="17"/>
        <v>0</v>
      </c>
      <c r="H69" s="58">
        <f t="shared" si="17"/>
        <v>0</v>
      </c>
      <c r="I69" s="58">
        <f t="shared" si="17"/>
        <v>0</v>
      </c>
      <c r="J69" s="58">
        <f t="shared" si="17"/>
        <v>0</v>
      </c>
      <c r="K69" s="58">
        <f t="shared" si="17"/>
        <v>0</v>
      </c>
      <c r="L69" s="58">
        <f t="shared" si="17"/>
        <v>0</v>
      </c>
      <c r="M69" s="176">
        <f t="shared" si="17"/>
        <v>0</v>
      </c>
      <c r="N69" s="39"/>
      <c r="O69" s="114"/>
      <c r="P69" s="40"/>
    </row>
    <row r="70" spans="1:16" s="27" customFormat="1" ht="14" customHeight="1">
      <c r="A70" s="53" t="s">
        <v>100</v>
      </c>
      <c r="B70" s="56">
        <f t="shared" ref="B70:M70" si="18">ROUND(SUM(B67:B69),0)</f>
        <v>0</v>
      </c>
      <c r="C70" s="56">
        <f t="shared" si="18"/>
        <v>0</v>
      </c>
      <c r="D70" s="56">
        <f t="shared" si="18"/>
        <v>0</v>
      </c>
      <c r="E70" s="56">
        <f t="shared" si="18"/>
        <v>0</v>
      </c>
      <c r="F70" s="56">
        <f t="shared" si="18"/>
        <v>0</v>
      </c>
      <c r="G70" s="56">
        <f t="shared" si="18"/>
        <v>0</v>
      </c>
      <c r="H70" s="56">
        <f t="shared" si="18"/>
        <v>0</v>
      </c>
      <c r="I70" s="56">
        <f t="shared" si="18"/>
        <v>0</v>
      </c>
      <c r="J70" s="56">
        <f t="shared" si="18"/>
        <v>0</v>
      </c>
      <c r="K70" s="56">
        <f t="shared" si="18"/>
        <v>0</v>
      </c>
      <c r="L70" s="56">
        <f t="shared" si="18"/>
        <v>0</v>
      </c>
      <c r="M70" s="57">
        <f t="shared" si="18"/>
        <v>0</v>
      </c>
      <c r="N70" s="28"/>
      <c r="O70" s="114"/>
      <c r="P70" s="40"/>
    </row>
    <row r="71" spans="1:16" s="27" customFormat="1" ht="14" customHeight="1">
      <c r="A71" s="53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2"/>
      <c r="O71" s="114"/>
      <c r="P71" s="40"/>
    </row>
    <row r="72" spans="1:16" s="28" customFormat="1" ht="14" customHeight="1">
      <c r="A72" s="177" t="s">
        <v>97</v>
      </c>
      <c r="B72" s="56">
        <f t="shared" ref="B72:M72" si="19">ROUND(B65-B70,0)</f>
        <v>0</v>
      </c>
      <c r="C72" s="56">
        <f t="shared" si="19"/>
        <v>0</v>
      </c>
      <c r="D72" s="56">
        <f t="shared" si="19"/>
        <v>0</v>
      </c>
      <c r="E72" s="56">
        <f t="shared" si="19"/>
        <v>0</v>
      </c>
      <c r="F72" s="56">
        <f t="shared" si="19"/>
        <v>0</v>
      </c>
      <c r="G72" s="56">
        <f t="shared" si="19"/>
        <v>0</v>
      </c>
      <c r="H72" s="56">
        <f t="shared" si="19"/>
        <v>0</v>
      </c>
      <c r="I72" s="56">
        <f t="shared" si="19"/>
        <v>0</v>
      </c>
      <c r="J72" s="56">
        <f t="shared" si="19"/>
        <v>0</v>
      </c>
      <c r="K72" s="56">
        <f t="shared" si="19"/>
        <v>0</v>
      </c>
      <c r="L72" s="56">
        <f t="shared" si="19"/>
        <v>0</v>
      </c>
      <c r="M72" s="57">
        <f t="shared" si="19"/>
        <v>0</v>
      </c>
      <c r="O72" s="114"/>
      <c r="P72" s="40"/>
    </row>
    <row r="73" spans="1:16" s="28" customFormat="1" ht="14" customHeight="1">
      <c r="A73" s="177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7"/>
      <c r="O73" s="114"/>
      <c r="P73" s="40"/>
    </row>
    <row r="74" spans="1:16" s="28" customFormat="1" ht="14" customHeight="1">
      <c r="A74" s="53" t="s">
        <v>213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5"/>
      <c r="O74" s="114" t="s">
        <v>58</v>
      </c>
      <c r="P74" s="40"/>
    </row>
    <row r="75" spans="1:16" s="28" customFormat="1" ht="14" customHeight="1">
      <c r="A75" s="60" t="s">
        <v>214</v>
      </c>
      <c r="B75" s="61">
        <f t="shared" ref="B75:M75" si="20">ROUND(B74+B64-B68,0)</f>
        <v>0</v>
      </c>
      <c r="C75" s="61">
        <f t="shared" si="20"/>
        <v>0</v>
      </c>
      <c r="D75" s="61">
        <f t="shared" si="20"/>
        <v>0</v>
      </c>
      <c r="E75" s="61">
        <f t="shared" si="20"/>
        <v>0</v>
      </c>
      <c r="F75" s="61">
        <f t="shared" si="20"/>
        <v>0</v>
      </c>
      <c r="G75" s="61">
        <f t="shared" si="20"/>
        <v>0</v>
      </c>
      <c r="H75" s="61">
        <f t="shared" si="20"/>
        <v>0</v>
      </c>
      <c r="I75" s="61">
        <f t="shared" si="20"/>
        <v>0</v>
      </c>
      <c r="J75" s="61">
        <f t="shared" si="20"/>
        <v>0</v>
      </c>
      <c r="K75" s="61">
        <f t="shared" si="20"/>
        <v>0</v>
      </c>
      <c r="L75" s="61">
        <f t="shared" si="20"/>
        <v>0</v>
      </c>
      <c r="M75" s="62">
        <f t="shared" si="20"/>
        <v>0</v>
      </c>
      <c r="O75" s="114"/>
      <c r="P75" s="40"/>
    </row>
    <row r="76" spans="1:16" s="28" customFormat="1" ht="14" customHeight="1">
      <c r="O76" s="114"/>
      <c r="P76" s="40"/>
    </row>
    <row r="77" spans="1:16" s="28" customFormat="1" ht="14" customHeight="1">
      <c r="O77" s="114"/>
      <c r="P77" s="40"/>
    </row>
    <row r="78" spans="1:16" s="28" customFormat="1" ht="14" customHeight="1">
      <c r="A78" s="41" t="s">
        <v>105</v>
      </c>
      <c r="O78" s="114"/>
      <c r="P78" s="40"/>
    </row>
    <row r="79" spans="1:16" s="28" customFormat="1" ht="14" customHeight="1">
      <c r="O79" s="114"/>
      <c r="P79" s="40"/>
    </row>
    <row r="80" spans="1:16" ht="14" customHeight="1">
      <c r="A80" s="46" t="s">
        <v>102</v>
      </c>
      <c r="B80" s="47">
        <v>0.2</v>
      </c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9"/>
    </row>
    <row r="81" spans="1:16" s="27" customFormat="1" ht="14" customHeight="1">
      <c r="A81" s="50" t="s">
        <v>78</v>
      </c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2"/>
      <c r="O81" s="43"/>
      <c r="P81" s="40"/>
    </row>
    <row r="82" spans="1:16" s="27" customFormat="1" ht="14" customHeight="1">
      <c r="A82" s="53" t="s">
        <v>94</v>
      </c>
      <c r="B82" s="54"/>
      <c r="C82" s="51">
        <f t="shared" ref="C82:M82" si="21">+B85</f>
        <v>0</v>
      </c>
      <c r="D82" s="51">
        <f t="shared" si="21"/>
        <v>0</v>
      </c>
      <c r="E82" s="51">
        <f t="shared" si="21"/>
        <v>0</v>
      </c>
      <c r="F82" s="51">
        <f t="shared" si="21"/>
        <v>0</v>
      </c>
      <c r="G82" s="51">
        <f t="shared" si="21"/>
        <v>0</v>
      </c>
      <c r="H82" s="51">
        <f t="shared" si="21"/>
        <v>0</v>
      </c>
      <c r="I82" s="51">
        <f t="shared" si="21"/>
        <v>0</v>
      </c>
      <c r="J82" s="51">
        <f t="shared" si="21"/>
        <v>0</v>
      </c>
      <c r="K82" s="51">
        <f t="shared" si="21"/>
        <v>0</v>
      </c>
      <c r="L82" s="51">
        <f t="shared" si="21"/>
        <v>0</v>
      </c>
      <c r="M82" s="52">
        <f t="shared" si="21"/>
        <v>0</v>
      </c>
      <c r="O82" s="114"/>
      <c r="P82" s="40"/>
    </row>
    <row r="83" spans="1:16" s="27" customFormat="1" ht="14" customHeight="1">
      <c r="A83" s="53" t="s">
        <v>95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5"/>
      <c r="N83" s="39"/>
      <c r="O83" s="114" t="s">
        <v>59</v>
      </c>
      <c r="P83" s="40"/>
    </row>
    <row r="84" spans="1:16" s="27" customFormat="1" ht="14" customHeight="1">
      <c r="A84" s="53" t="s">
        <v>96</v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5"/>
      <c r="N84" s="39"/>
      <c r="O84" s="114"/>
      <c r="P84" s="40"/>
    </row>
    <row r="85" spans="1:16" s="27" customFormat="1" ht="14" customHeight="1">
      <c r="A85" s="53" t="s">
        <v>101</v>
      </c>
      <c r="B85" s="56">
        <f t="shared" ref="B85:M85" si="22">ROUND(SUM(B82:B84),0)</f>
        <v>0</v>
      </c>
      <c r="C85" s="56">
        <f t="shared" si="22"/>
        <v>0</v>
      </c>
      <c r="D85" s="56">
        <f t="shared" si="22"/>
        <v>0</v>
      </c>
      <c r="E85" s="56">
        <f t="shared" si="22"/>
        <v>0</v>
      </c>
      <c r="F85" s="56">
        <f t="shared" si="22"/>
        <v>0</v>
      </c>
      <c r="G85" s="56">
        <f t="shared" si="22"/>
        <v>0</v>
      </c>
      <c r="H85" s="56">
        <f t="shared" si="22"/>
        <v>0</v>
      </c>
      <c r="I85" s="56">
        <f t="shared" si="22"/>
        <v>0</v>
      </c>
      <c r="J85" s="56">
        <f t="shared" si="22"/>
        <v>0</v>
      </c>
      <c r="K85" s="56">
        <f t="shared" si="22"/>
        <v>0</v>
      </c>
      <c r="L85" s="56">
        <f t="shared" si="22"/>
        <v>0</v>
      </c>
      <c r="M85" s="57">
        <f t="shared" si="22"/>
        <v>0</v>
      </c>
      <c r="N85" s="28"/>
      <c r="O85" s="114"/>
      <c r="P85" s="40"/>
    </row>
    <row r="86" spans="1:16" s="27" customFormat="1" ht="14" customHeight="1">
      <c r="A86" s="53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2"/>
      <c r="O86" s="114"/>
      <c r="P86" s="40"/>
    </row>
    <row r="87" spans="1:16" s="27" customFormat="1" ht="14" customHeight="1">
      <c r="A87" s="53" t="s">
        <v>99</v>
      </c>
      <c r="B87" s="54"/>
      <c r="C87" s="51">
        <f t="shared" ref="C87:M87" si="23">+B90</f>
        <v>0</v>
      </c>
      <c r="D87" s="51">
        <f t="shared" si="23"/>
        <v>0</v>
      </c>
      <c r="E87" s="51">
        <f t="shared" si="23"/>
        <v>0</v>
      </c>
      <c r="F87" s="51">
        <f t="shared" si="23"/>
        <v>0</v>
      </c>
      <c r="G87" s="51">
        <f t="shared" si="23"/>
        <v>0</v>
      </c>
      <c r="H87" s="51">
        <f t="shared" si="23"/>
        <v>0</v>
      </c>
      <c r="I87" s="51">
        <f t="shared" si="23"/>
        <v>0</v>
      </c>
      <c r="J87" s="51">
        <f t="shared" si="23"/>
        <v>0</v>
      </c>
      <c r="K87" s="51">
        <f t="shared" si="23"/>
        <v>0</v>
      </c>
      <c r="L87" s="51">
        <f t="shared" si="23"/>
        <v>0</v>
      </c>
      <c r="M87" s="52">
        <f t="shared" si="23"/>
        <v>0</v>
      </c>
      <c r="O87" s="114"/>
      <c r="P87" s="40"/>
    </row>
    <row r="88" spans="1:16" s="27" customFormat="1" ht="14" customHeight="1">
      <c r="A88" s="53" t="s">
        <v>103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5"/>
      <c r="O88" s="114"/>
      <c r="P88" s="40"/>
    </row>
    <row r="89" spans="1:16" s="27" customFormat="1" ht="14" customHeight="1">
      <c r="A89" s="53" t="s">
        <v>98</v>
      </c>
      <c r="B89" s="58">
        <f>ROUND(IF((B85-B87-B88)-B85*$B80/12&gt;0,B85*$B80/12,B85-B87-B88),0)</f>
        <v>0</v>
      </c>
      <c r="C89" s="58">
        <f t="shared" ref="C89:M89" si="24">ROUND(IF((C85-C87-C88)-C85*$B80/12&gt;0,C85*$B80/12,C85-C87-C88),0)</f>
        <v>0</v>
      </c>
      <c r="D89" s="58">
        <f t="shared" si="24"/>
        <v>0</v>
      </c>
      <c r="E89" s="58">
        <f t="shared" si="24"/>
        <v>0</v>
      </c>
      <c r="F89" s="58">
        <f t="shared" si="24"/>
        <v>0</v>
      </c>
      <c r="G89" s="58">
        <f t="shared" si="24"/>
        <v>0</v>
      </c>
      <c r="H89" s="58">
        <f t="shared" si="24"/>
        <v>0</v>
      </c>
      <c r="I89" s="58">
        <f t="shared" si="24"/>
        <v>0</v>
      </c>
      <c r="J89" s="58">
        <f t="shared" si="24"/>
        <v>0</v>
      </c>
      <c r="K89" s="58">
        <f t="shared" si="24"/>
        <v>0</v>
      </c>
      <c r="L89" s="58">
        <f t="shared" si="24"/>
        <v>0</v>
      </c>
      <c r="M89" s="176">
        <f t="shared" si="24"/>
        <v>0</v>
      </c>
      <c r="N89" s="39"/>
      <c r="O89" s="114"/>
      <c r="P89" s="40"/>
    </row>
    <row r="90" spans="1:16" s="27" customFormat="1" ht="14" customHeight="1">
      <c r="A90" s="53" t="s">
        <v>100</v>
      </c>
      <c r="B90" s="56">
        <f t="shared" ref="B90:M90" si="25">ROUND(SUM(B87:B89),0)</f>
        <v>0</v>
      </c>
      <c r="C90" s="56">
        <f t="shared" si="25"/>
        <v>0</v>
      </c>
      <c r="D90" s="56">
        <f t="shared" si="25"/>
        <v>0</v>
      </c>
      <c r="E90" s="56">
        <f t="shared" si="25"/>
        <v>0</v>
      </c>
      <c r="F90" s="56">
        <f t="shared" si="25"/>
        <v>0</v>
      </c>
      <c r="G90" s="56">
        <f t="shared" si="25"/>
        <v>0</v>
      </c>
      <c r="H90" s="56">
        <f t="shared" si="25"/>
        <v>0</v>
      </c>
      <c r="I90" s="56">
        <f t="shared" si="25"/>
        <v>0</v>
      </c>
      <c r="J90" s="56">
        <f t="shared" si="25"/>
        <v>0</v>
      </c>
      <c r="K90" s="56">
        <f t="shared" si="25"/>
        <v>0</v>
      </c>
      <c r="L90" s="56">
        <f t="shared" si="25"/>
        <v>0</v>
      </c>
      <c r="M90" s="57">
        <f t="shared" si="25"/>
        <v>0</v>
      </c>
      <c r="N90" s="28"/>
      <c r="O90" s="114"/>
      <c r="P90" s="40"/>
    </row>
    <row r="91" spans="1:16" s="27" customFormat="1" ht="14" customHeight="1">
      <c r="A91" s="53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2"/>
      <c r="O91" s="114"/>
      <c r="P91" s="40"/>
    </row>
    <row r="92" spans="1:16" s="28" customFormat="1" ht="14" customHeight="1">
      <c r="A92" s="177" t="s">
        <v>97</v>
      </c>
      <c r="B92" s="56">
        <f t="shared" ref="B92:M92" si="26">ROUND(B85-B90,0)</f>
        <v>0</v>
      </c>
      <c r="C92" s="56">
        <f t="shared" si="26"/>
        <v>0</v>
      </c>
      <c r="D92" s="56">
        <f t="shared" si="26"/>
        <v>0</v>
      </c>
      <c r="E92" s="56">
        <f t="shared" si="26"/>
        <v>0</v>
      </c>
      <c r="F92" s="56">
        <f t="shared" si="26"/>
        <v>0</v>
      </c>
      <c r="G92" s="56">
        <f t="shared" si="26"/>
        <v>0</v>
      </c>
      <c r="H92" s="56">
        <f t="shared" si="26"/>
        <v>0</v>
      </c>
      <c r="I92" s="56">
        <f t="shared" si="26"/>
        <v>0</v>
      </c>
      <c r="J92" s="56">
        <f t="shared" si="26"/>
        <v>0</v>
      </c>
      <c r="K92" s="56">
        <f t="shared" si="26"/>
        <v>0</v>
      </c>
      <c r="L92" s="56">
        <f t="shared" si="26"/>
        <v>0</v>
      </c>
      <c r="M92" s="57">
        <f t="shared" si="26"/>
        <v>0</v>
      </c>
      <c r="O92" s="114"/>
      <c r="P92" s="40"/>
    </row>
    <row r="93" spans="1:16" s="28" customFormat="1" ht="14" customHeight="1">
      <c r="A93" s="177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7"/>
      <c r="O93" s="114"/>
      <c r="P93" s="40"/>
    </row>
    <row r="94" spans="1:16" s="28" customFormat="1" ht="15.75" customHeight="1">
      <c r="A94" s="53" t="s">
        <v>213</v>
      </c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5"/>
      <c r="O94" s="114" t="s">
        <v>58</v>
      </c>
      <c r="P94" s="40"/>
    </row>
    <row r="95" spans="1:16" s="28" customFormat="1" ht="15.75" customHeight="1">
      <c r="A95" s="60" t="s">
        <v>214</v>
      </c>
      <c r="B95" s="61">
        <f t="shared" ref="B95:M95" si="27">ROUND(B94+B84-B88,0)</f>
        <v>0</v>
      </c>
      <c r="C95" s="61">
        <f t="shared" si="27"/>
        <v>0</v>
      </c>
      <c r="D95" s="61">
        <f t="shared" si="27"/>
        <v>0</v>
      </c>
      <c r="E95" s="61">
        <f t="shared" si="27"/>
        <v>0</v>
      </c>
      <c r="F95" s="61">
        <f t="shared" si="27"/>
        <v>0</v>
      </c>
      <c r="G95" s="61">
        <f t="shared" si="27"/>
        <v>0</v>
      </c>
      <c r="H95" s="61">
        <f t="shared" si="27"/>
        <v>0</v>
      </c>
      <c r="I95" s="61">
        <f t="shared" si="27"/>
        <v>0</v>
      </c>
      <c r="J95" s="61">
        <f t="shared" si="27"/>
        <v>0</v>
      </c>
      <c r="K95" s="61">
        <f t="shared" si="27"/>
        <v>0</v>
      </c>
      <c r="L95" s="61">
        <f t="shared" si="27"/>
        <v>0</v>
      </c>
      <c r="M95" s="62">
        <f t="shared" si="27"/>
        <v>0</v>
      </c>
      <c r="O95" s="114"/>
      <c r="P95" s="40"/>
    </row>
    <row r="96" spans="1:16" s="28" customFormat="1" ht="14" customHeight="1">
      <c r="O96" s="114"/>
      <c r="P96" s="40"/>
    </row>
    <row r="97" spans="1:16" s="28" customFormat="1" ht="14" customHeight="1">
      <c r="O97" s="114"/>
      <c r="P97" s="40"/>
    </row>
    <row r="98" spans="1:16" ht="14" customHeight="1">
      <c r="A98" s="46" t="s">
        <v>102</v>
      </c>
      <c r="B98" s="47">
        <v>0.2</v>
      </c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9"/>
    </row>
    <row r="99" spans="1:16" s="27" customFormat="1" ht="14" customHeight="1">
      <c r="A99" s="50" t="s">
        <v>79</v>
      </c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2"/>
      <c r="O99" s="43"/>
      <c r="P99" s="40"/>
    </row>
    <row r="100" spans="1:16" s="27" customFormat="1" ht="14" customHeight="1">
      <c r="A100" s="53" t="s">
        <v>94</v>
      </c>
      <c r="B100" s="54"/>
      <c r="C100" s="51">
        <f t="shared" ref="C100:M100" si="28">+B103</f>
        <v>0</v>
      </c>
      <c r="D100" s="51">
        <f t="shared" si="28"/>
        <v>0</v>
      </c>
      <c r="E100" s="51">
        <f t="shared" si="28"/>
        <v>0</v>
      </c>
      <c r="F100" s="51">
        <f t="shared" si="28"/>
        <v>0</v>
      </c>
      <c r="G100" s="51">
        <f t="shared" si="28"/>
        <v>0</v>
      </c>
      <c r="H100" s="51">
        <f t="shared" si="28"/>
        <v>0</v>
      </c>
      <c r="I100" s="51">
        <f t="shared" si="28"/>
        <v>0</v>
      </c>
      <c r="J100" s="51">
        <f t="shared" si="28"/>
        <v>0</v>
      </c>
      <c r="K100" s="51">
        <f t="shared" si="28"/>
        <v>0</v>
      </c>
      <c r="L100" s="51">
        <f t="shared" si="28"/>
        <v>0</v>
      </c>
      <c r="M100" s="52">
        <f t="shared" si="28"/>
        <v>0</v>
      </c>
      <c r="O100" s="114"/>
      <c r="P100" s="40"/>
    </row>
    <row r="101" spans="1:16" s="27" customFormat="1" ht="14" customHeight="1">
      <c r="A101" s="53" t="s">
        <v>95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5"/>
      <c r="N101" s="39"/>
      <c r="O101" s="114" t="s">
        <v>59</v>
      </c>
      <c r="P101" s="40"/>
    </row>
    <row r="102" spans="1:16" s="27" customFormat="1" ht="14" customHeight="1">
      <c r="A102" s="53" t="s">
        <v>96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5"/>
      <c r="N102" s="39"/>
      <c r="O102" s="114"/>
      <c r="P102" s="40"/>
    </row>
    <row r="103" spans="1:16" s="27" customFormat="1" ht="14" customHeight="1">
      <c r="A103" s="53" t="s">
        <v>101</v>
      </c>
      <c r="B103" s="56">
        <f t="shared" ref="B103:M103" si="29">ROUND(SUM(B100:B102),0)</f>
        <v>0</v>
      </c>
      <c r="C103" s="56">
        <f t="shared" si="29"/>
        <v>0</v>
      </c>
      <c r="D103" s="56">
        <f t="shared" si="29"/>
        <v>0</v>
      </c>
      <c r="E103" s="56">
        <f t="shared" si="29"/>
        <v>0</v>
      </c>
      <c r="F103" s="56">
        <f t="shared" si="29"/>
        <v>0</v>
      </c>
      <c r="G103" s="56">
        <f t="shared" si="29"/>
        <v>0</v>
      </c>
      <c r="H103" s="56">
        <f t="shared" si="29"/>
        <v>0</v>
      </c>
      <c r="I103" s="56">
        <f t="shared" si="29"/>
        <v>0</v>
      </c>
      <c r="J103" s="56">
        <f t="shared" si="29"/>
        <v>0</v>
      </c>
      <c r="K103" s="56">
        <f t="shared" si="29"/>
        <v>0</v>
      </c>
      <c r="L103" s="56">
        <f t="shared" si="29"/>
        <v>0</v>
      </c>
      <c r="M103" s="57">
        <f t="shared" si="29"/>
        <v>0</v>
      </c>
      <c r="N103" s="28"/>
      <c r="O103" s="114"/>
      <c r="P103" s="40"/>
    </row>
    <row r="104" spans="1:16" s="27" customFormat="1" ht="14" customHeight="1">
      <c r="A104" s="53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2"/>
      <c r="O104" s="114"/>
      <c r="P104" s="40"/>
    </row>
    <row r="105" spans="1:16" s="27" customFormat="1" ht="14" customHeight="1">
      <c r="A105" s="53" t="s">
        <v>99</v>
      </c>
      <c r="B105" s="54"/>
      <c r="C105" s="51">
        <f t="shared" ref="C105:M105" si="30">+B108</f>
        <v>0</v>
      </c>
      <c r="D105" s="51">
        <f t="shared" si="30"/>
        <v>0</v>
      </c>
      <c r="E105" s="51">
        <f t="shared" si="30"/>
        <v>0</v>
      </c>
      <c r="F105" s="51">
        <f t="shared" si="30"/>
        <v>0</v>
      </c>
      <c r="G105" s="51">
        <f t="shared" si="30"/>
        <v>0</v>
      </c>
      <c r="H105" s="51">
        <f t="shared" si="30"/>
        <v>0</v>
      </c>
      <c r="I105" s="51">
        <f t="shared" si="30"/>
        <v>0</v>
      </c>
      <c r="J105" s="51">
        <f t="shared" si="30"/>
        <v>0</v>
      </c>
      <c r="K105" s="51">
        <f t="shared" si="30"/>
        <v>0</v>
      </c>
      <c r="L105" s="51">
        <f t="shared" si="30"/>
        <v>0</v>
      </c>
      <c r="M105" s="52">
        <f t="shared" si="30"/>
        <v>0</v>
      </c>
      <c r="O105" s="114"/>
      <c r="P105" s="40"/>
    </row>
    <row r="106" spans="1:16" s="27" customFormat="1" ht="14" customHeight="1">
      <c r="A106" s="53" t="s">
        <v>103</v>
      </c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5"/>
      <c r="O106" s="114"/>
      <c r="P106" s="40"/>
    </row>
    <row r="107" spans="1:16" s="27" customFormat="1" ht="14" customHeight="1">
      <c r="A107" s="53" t="s">
        <v>98</v>
      </c>
      <c r="B107" s="58">
        <f t="shared" ref="B107:M107" si="31">+ROUND(IF((B103-B105+B106)-((B103*$B98)/12)&gt;0,(B103*$B98)/12,IF((B103-B105+B106)-((B103*$B98)/12)&lt;1,IF((B103-B105+B106)&gt;0,(B103-B105+B106),0),0)),0)</f>
        <v>0</v>
      </c>
      <c r="C107" s="58">
        <f t="shared" si="31"/>
        <v>0</v>
      </c>
      <c r="D107" s="58">
        <f t="shared" si="31"/>
        <v>0</v>
      </c>
      <c r="E107" s="58">
        <f t="shared" si="31"/>
        <v>0</v>
      </c>
      <c r="F107" s="58">
        <f t="shared" si="31"/>
        <v>0</v>
      </c>
      <c r="G107" s="58">
        <f t="shared" si="31"/>
        <v>0</v>
      </c>
      <c r="H107" s="58">
        <f t="shared" si="31"/>
        <v>0</v>
      </c>
      <c r="I107" s="58">
        <f t="shared" si="31"/>
        <v>0</v>
      </c>
      <c r="J107" s="58">
        <f t="shared" si="31"/>
        <v>0</v>
      </c>
      <c r="K107" s="58">
        <f t="shared" si="31"/>
        <v>0</v>
      </c>
      <c r="L107" s="58">
        <f t="shared" si="31"/>
        <v>0</v>
      </c>
      <c r="M107" s="176">
        <f t="shared" si="31"/>
        <v>0</v>
      </c>
      <c r="N107" s="39"/>
      <c r="O107" s="114"/>
      <c r="P107" s="40"/>
    </row>
    <row r="108" spans="1:16" s="27" customFormat="1" ht="14" customHeight="1">
      <c r="A108" s="53" t="s">
        <v>100</v>
      </c>
      <c r="B108" s="56">
        <f t="shared" ref="B108:M108" si="32">ROUND(SUM(B105:B107),0)</f>
        <v>0</v>
      </c>
      <c r="C108" s="56">
        <f t="shared" si="32"/>
        <v>0</v>
      </c>
      <c r="D108" s="56">
        <f t="shared" si="32"/>
        <v>0</v>
      </c>
      <c r="E108" s="56">
        <f t="shared" si="32"/>
        <v>0</v>
      </c>
      <c r="F108" s="56">
        <f t="shared" si="32"/>
        <v>0</v>
      </c>
      <c r="G108" s="56">
        <f t="shared" si="32"/>
        <v>0</v>
      </c>
      <c r="H108" s="56">
        <f t="shared" si="32"/>
        <v>0</v>
      </c>
      <c r="I108" s="56">
        <f t="shared" si="32"/>
        <v>0</v>
      </c>
      <c r="J108" s="56">
        <f t="shared" si="32"/>
        <v>0</v>
      </c>
      <c r="K108" s="56">
        <f t="shared" si="32"/>
        <v>0</v>
      </c>
      <c r="L108" s="56">
        <f t="shared" si="32"/>
        <v>0</v>
      </c>
      <c r="M108" s="57">
        <f t="shared" si="32"/>
        <v>0</v>
      </c>
      <c r="N108" s="28"/>
      <c r="O108" s="114"/>
      <c r="P108" s="40"/>
    </row>
    <row r="109" spans="1:16" s="27" customFormat="1" ht="14" customHeight="1">
      <c r="A109" s="53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2"/>
      <c r="O109" s="114"/>
      <c r="P109" s="40"/>
    </row>
    <row r="110" spans="1:16" s="28" customFormat="1" ht="14" customHeight="1">
      <c r="A110" s="177" t="s">
        <v>97</v>
      </c>
      <c r="B110" s="56">
        <f t="shared" ref="B110:M110" si="33">ROUND(B103-B108,0)</f>
        <v>0</v>
      </c>
      <c r="C110" s="56">
        <f t="shared" si="33"/>
        <v>0</v>
      </c>
      <c r="D110" s="56">
        <f t="shared" si="33"/>
        <v>0</v>
      </c>
      <c r="E110" s="56">
        <f t="shared" si="33"/>
        <v>0</v>
      </c>
      <c r="F110" s="56">
        <f t="shared" si="33"/>
        <v>0</v>
      </c>
      <c r="G110" s="56">
        <f t="shared" si="33"/>
        <v>0</v>
      </c>
      <c r="H110" s="56">
        <f t="shared" si="33"/>
        <v>0</v>
      </c>
      <c r="I110" s="56">
        <f t="shared" si="33"/>
        <v>0</v>
      </c>
      <c r="J110" s="56">
        <f t="shared" si="33"/>
        <v>0</v>
      </c>
      <c r="K110" s="56">
        <f t="shared" si="33"/>
        <v>0</v>
      </c>
      <c r="L110" s="56">
        <f t="shared" si="33"/>
        <v>0</v>
      </c>
      <c r="M110" s="57">
        <f t="shared" si="33"/>
        <v>0</v>
      </c>
      <c r="O110" s="114"/>
      <c r="P110" s="40"/>
    </row>
    <row r="111" spans="1:16" s="28" customFormat="1" ht="14" customHeight="1">
      <c r="A111" s="177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7"/>
      <c r="O111" s="114"/>
      <c r="P111" s="40"/>
    </row>
    <row r="112" spans="1:16" s="28" customFormat="1" ht="15.75" customHeight="1">
      <c r="A112" s="53" t="s">
        <v>213</v>
      </c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5"/>
      <c r="O112" s="114" t="s">
        <v>58</v>
      </c>
      <c r="P112" s="40"/>
    </row>
    <row r="113" spans="1:16" s="28" customFormat="1" ht="15.75" customHeight="1">
      <c r="A113" s="60" t="s">
        <v>214</v>
      </c>
      <c r="B113" s="61">
        <f t="shared" ref="B113:M113" si="34">ROUND(B112+B102-B106,0)</f>
        <v>0</v>
      </c>
      <c r="C113" s="61">
        <f t="shared" si="34"/>
        <v>0</v>
      </c>
      <c r="D113" s="61">
        <f t="shared" si="34"/>
        <v>0</v>
      </c>
      <c r="E113" s="61">
        <f t="shared" si="34"/>
        <v>0</v>
      </c>
      <c r="F113" s="61">
        <f t="shared" si="34"/>
        <v>0</v>
      </c>
      <c r="G113" s="61">
        <f t="shared" si="34"/>
        <v>0</v>
      </c>
      <c r="H113" s="61">
        <f t="shared" si="34"/>
        <v>0</v>
      </c>
      <c r="I113" s="61">
        <f t="shared" si="34"/>
        <v>0</v>
      </c>
      <c r="J113" s="61">
        <f t="shared" si="34"/>
        <v>0</v>
      </c>
      <c r="K113" s="61">
        <f t="shared" si="34"/>
        <v>0</v>
      </c>
      <c r="L113" s="61">
        <f t="shared" si="34"/>
        <v>0</v>
      </c>
      <c r="M113" s="62">
        <f t="shared" si="34"/>
        <v>0</v>
      </c>
      <c r="O113" s="114"/>
      <c r="P113" s="40"/>
    </row>
    <row r="114" spans="1:16" s="64" customFormat="1" ht="14" customHeight="1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O114" s="115"/>
      <c r="P114" s="65"/>
    </row>
    <row r="115" spans="1:16" ht="14" customHeight="1">
      <c r="A115" s="172" t="s">
        <v>107</v>
      </c>
    </row>
    <row r="116" spans="1:16" ht="14" customHeight="1"/>
    <row r="117" spans="1:16" ht="14" customHeight="1">
      <c r="A117" s="173" t="s">
        <v>82</v>
      </c>
      <c r="B117" s="67">
        <v>0</v>
      </c>
      <c r="C117" s="67">
        <v>0</v>
      </c>
      <c r="D117" s="67">
        <v>0</v>
      </c>
      <c r="E117" s="67">
        <v>0</v>
      </c>
      <c r="F117" s="67"/>
      <c r="G117" s="67">
        <v>0.01</v>
      </c>
      <c r="H117" s="67"/>
      <c r="I117" s="67"/>
      <c r="J117" s="67">
        <v>0.01</v>
      </c>
      <c r="K117" s="67"/>
      <c r="L117" s="67"/>
      <c r="M117" s="67">
        <v>0.01</v>
      </c>
    </row>
    <row r="118" spans="1:16" ht="14" customHeight="1">
      <c r="A118" s="173" t="s">
        <v>83</v>
      </c>
      <c r="B118" s="67"/>
      <c r="C118" s="67"/>
      <c r="D118" s="67">
        <v>0</v>
      </c>
      <c r="E118" s="67"/>
      <c r="F118" s="67"/>
      <c r="G118" s="67">
        <v>0.08</v>
      </c>
      <c r="H118" s="67"/>
      <c r="I118" s="67"/>
      <c r="J118" s="67">
        <v>0.08</v>
      </c>
      <c r="K118" s="67"/>
      <c r="L118" s="67"/>
      <c r="M118" s="67">
        <v>0.08</v>
      </c>
    </row>
    <row r="119" spans="1:16" ht="14" customHeight="1">
      <c r="A119" s="173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</row>
    <row r="120" spans="1:16" ht="14" customHeight="1">
      <c r="A120" s="178" t="s">
        <v>190</v>
      </c>
      <c r="B120" s="181"/>
      <c r="C120" s="49" t="s">
        <v>191</v>
      </c>
      <c r="J120" s="67"/>
      <c r="K120" s="67"/>
      <c r="L120" s="67"/>
      <c r="M120" s="67"/>
    </row>
    <row r="121" spans="1:16" ht="14" customHeight="1">
      <c r="A121" s="173"/>
      <c r="B121" s="182" t="s">
        <v>127</v>
      </c>
      <c r="C121" s="184" t="s">
        <v>192</v>
      </c>
      <c r="D121" s="67"/>
      <c r="E121" s="186" t="str">
        <f>IF(B120="x","",IF(B121="x","",IF(B122="x","",IF(B123="x","","DER SKAL SÆTTES KRYDS!!!"))))</f>
        <v/>
      </c>
      <c r="F121" s="67"/>
      <c r="G121" s="67"/>
      <c r="H121" s="67"/>
      <c r="I121" s="67"/>
      <c r="J121" s="67"/>
      <c r="K121" s="67"/>
      <c r="L121" s="67"/>
      <c r="M121" s="67"/>
    </row>
    <row r="122" spans="1:16" ht="14" customHeight="1">
      <c r="A122" s="173"/>
      <c r="B122" s="182"/>
      <c r="C122" s="184" t="s">
        <v>193</v>
      </c>
    </row>
    <row r="123" spans="1:16" ht="14" customHeight="1">
      <c r="A123" s="173"/>
      <c r="B123" s="183"/>
      <c r="C123" s="185" t="s">
        <v>194</v>
      </c>
    </row>
    <row r="124" spans="1:16" ht="14" customHeight="1">
      <c r="A124" s="173"/>
      <c r="B124" s="180"/>
      <c r="C124" s="178"/>
    </row>
    <row r="125" spans="1:16" ht="14" customHeight="1">
      <c r="A125" s="173"/>
      <c r="B125" s="180"/>
      <c r="C125" s="178"/>
    </row>
    <row r="126" spans="1:16" ht="14" customHeight="1">
      <c r="A126" s="172" t="s">
        <v>215</v>
      </c>
      <c r="B126" s="179"/>
      <c r="C126" s="178"/>
    </row>
    <row r="127" spans="1:16" ht="14" customHeight="1">
      <c r="A127" s="172"/>
      <c r="B127" s="179"/>
      <c r="C127" s="178"/>
    </row>
    <row r="128" spans="1:16" ht="14" customHeight="1">
      <c r="A128" s="69" t="s">
        <v>33</v>
      </c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</row>
    <row r="129" spans="1:13" ht="14" customHeight="1">
      <c r="A129" s="173" t="s">
        <v>81</v>
      </c>
      <c r="B129" s="70">
        <v>9.5000000000000001E-2</v>
      </c>
      <c r="C129" s="70">
        <f t="shared" ref="C129:M129" si="35">+B129</f>
        <v>9.5000000000000001E-2</v>
      </c>
      <c r="D129" s="70">
        <f t="shared" si="35"/>
        <v>9.5000000000000001E-2</v>
      </c>
      <c r="E129" s="70">
        <f t="shared" si="35"/>
        <v>9.5000000000000001E-2</v>
      </c>
      <c r="F129" s="70">
        <f t="shared" si="35"/>
        <v>9.5000000000000001E-2</v>
      </c>
      <c r="G129" s="70">
        <f t="shared" si="35"/>
        <v>9.5000000000000001E-2</v>
      </c>
      <c r="H129" s="70">
        <f t="shared" si="35"/>
        <v>9.5000000000000001E-2</v>
      </c>
      <c r="I129" s="70">
        <f t="shared" si="35"/>
        <v>9.5000000000000001E-2</v>
      </c>
      <c r="J129" s="70">
        <f t="shared" si="35"/>
        <v>9.5000000000000001E-2</v>
      </c>
      <c r="K129" s="70">
        <f t="shared" si="35"/>
        <v>9.5000000000000001E-2</v>
      </c>
      <c r="L129" s="70">
        <f t="shared" si="35"/>
        <v>9.5000000000000001E-2</v>
      </c>
      <c r="M129" s="70">
        <f t="shared" si="35"/>
        <v>9.5000000000000001E-2</v>
      </c>
    </row>
    <row r="130" spans="1:13" ht="14" customHeight="1">
      <c r="A130" s="173" t="s">
        <v>80</v>
      </c>
      <c r="B130" s="69">
        <v>0</v>
      </c>
      <c r="C130" s="69">
        <f>+B130</f>
        <v>0</v>
      </c>
      <c r="D130" s="69">
        <f t="shared" ref="D130:M130" si="36">+C130</f>
        <v>0</v>
      </c>
      <c r="E130" s="69">
        <f t="shared" si="36"/>
        <v>0</v>
      </c>
      <c r="F130" s="69">
        <f t="shared" si="36"/>
        <v>0</v>
      </c>
      <c r="G130" s="69">
        <f t="shared" si="36"/>
        <v>0</v>
      </c>
      <c r="H130" s="69">
        <f t="shared" si="36"/>
        <v>0</v>
      </c>
      <c r="I130" s="69">
        <f t="shared" si="36"/>
        <v>0</v>
      </c>
      <c r="J130" s="69">
        <f t="shared" si="36"/>
        <v>0</v>
      </c>
      <c r="K130" s="69">
        <f t="shared" si="36"/>
        <v>0</v>
      </c>
      <c r="L130" s="69">
        <f t="shared" si="36"/>
        <v>0</v>
      </c>
      <c r="M130" s="69">
        <f t="shared" si="36"/>
        <v>0</v>
      </c>
    </row>
    <row r="131" spans="1:13" ht="14" customHeight="1">
      <c r="A131" s="173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</row>
    <row r="132" spans="1:13" ht="14" customHeight="1">
      <c r="A132" s="178" t="s">
        <v>190</v>
      </c>
      <c r="B132" s="181" t="s">
        <v>127</v>
      </c>
      <c r="C132" s="49" t="s">
        <v>191</v>
      </c>
      <c r="D132" s="69"/>
      <c r="E132" s="69"/>
      <c r="F132" s="69"/>
      <c r="G132" s="69"/>
      <c r="H132" s="69"/>
      <c r="I132" s="69"/>
      <c r="J132" s="69"/>
      <c r="K132" s="69"/>
      <c r="L132" s="69"/>
      <c r="M132" s="69"/>
    </row>
    <row r="133" spans="1:13" ht="14" customHeight="1">
      <c r="A133" s="173"/>
      <c r="B133" s="182"/>
      <c r="C133" s="184" t="s">
        <v>192</v>
      </c>
      <c r="D133" s="69"/>
      <c r="E133" s="186" t="str">
        <f>IF(B132="x","",IF(B133="x","",IF(B134="x","",IF(B135="x","","DER SKAL SÆTTES KRYDS!!!"))))</f>
        <v/>
      </c>
      <c r="F133" s="69"/>
      <c r="G133" s="69"/>
      <c r="H133" s="69"/>
      <c r="I133" s="69"/>
      <c r="J133" s="69"/>
      <c r="K133" s="69"/>
      <c r="L133" s="69"/>
      <c r="M133" s="69"/>
    </row>
    <row r="134" spans="1:13" ht="14" customHeight="1">
      <c r="A134" s="173"/>
      <c r="B134" s="182"/>
      <c r="C134" s="184" t="s">
        <v>193</v>
      </c>
      <c r="D134" s="69"/>
      <c r="E134" s="69"/>
      <c r="F134" s="69"/>
      <c r="G134" s="69"/>
      <c r="H134" s="69"/>
      <c r="I134" s="69"/>
      <c r="J134" s="69"/>
      <c r="K134" s="69"/>
      <c r="L134" s="69"/>
      <c r="M134" s="69"/>
    </row>
    <row r="135" spans="1:13" ht="14" customHeight="1">
      <c r="A135" s="173"/>
      <c r="B135" s="183"/>
      <c r="C135" s="185" t="s">
        <v>194</v>
      </c>
      <c r="D135" s="69"/>
      <c r="E135" s="69"/>
      <c r="F135" s="69"/>
      <c r="G135" s="69"/>
      <c r="H135" s="69"/>
      <c r="I135" s="69"/>
      <c r="J135" s="69"/>
      <c r="K135" s="69"/>
      <c r="L135" s="69"/>
      <c r="M135" s="69"/>
    </row>
    <row r="136" spans="1:13" ht="14" customHeight="1">
      <c r="A136" s="173"/>
    </row>
    <row r="137" spans="1:13" ht="14" customHeight="1">
      <c r="A137" s="173"/>
    </row>
    <row r="138" spans="1:13" ht="14" customHeight="1">
      <c r="A138" s="172" t="s">
        <v>216</v>
      </c>
    </row>
    <row r="139" spans="1:13" ht="14" customHeight="1">
      <c r="A139" s="172"/>
    </row>
    <row r="140" spans="1:13" ht="14" customHeight="1">
      <c r="A140" s="69" t="s">
        <v>33</v>
      </c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</row>
    <row r="141" spans="1:13" ht="14" customHeight="1">
      <c r="A141" s="173" t="s">
        <v>81</v>
      </c>
      <c r="B141" s="70">
        <v>0.1</v>
      </c>
      <c r="C141" s="70"/>
      <c r="D141" s="70"/>
      <c r="E141" s="70">
        <v>0.1</v>
      </c>
      <c r="F141" s="70"/>
      <c r="G141" s="70"/>
      <c r="H141" s="70">
        <v>0.1</v>
      </c>
      <c r="I141" s="70"/>
      <c r="J141" s="70"/>
      <c r="K141" s="70">
        <v>0.1</v>
      </c>
      <c r="L141" s="70"/>
      <c r="M141" s="70"/>
    </row>
    <row r="142" spans="1:13" ht="14" customHeight="1">
      <c r="A142" s="173" t="s">
        <v>80</v>
      </c>
      <c r="B142" s="69">
        <v>0</v>
      </c>
      <c r="C142" s="69">
        <f>+B142</f>
        <v>0</v>
      </c>
      <c r="D142" s="69">
        <f t="shared" ref="D142:M142" si="37">+C142</f>
        <v>0</v>
      </c>
      <c r="E142" s="69">
        <f t="shared" si="37"/>
        <v>0</v>
      </c>
      <c r="F142" s="69">
        <f t="shared" si="37"/>
        <v>0</v>
      </c>
      <c r="G142" s="69">
        <f t="shared" si="37"/>
        <v>0</v>
      </c>
      <c r="H142" s="69">
        <f t="shared" si="37"/>
        <v>0</v>
      </c>
      <c r="I142" s="69">
        <f t="shared" si="37"/>
        <v>0</v>
      </c>
      <c r="J142" s="69">
        <f t="shared" si="37"/>
        <v>0</v>
      </c>
      <c r="K142" s="69">
        <f t="shared" si="37"/>
        <v>0</v>
      </c>
      <c r="L142" s="69">
        <f t="shared" si="37"/>
        <v>0</v>
      </c>
      <c r="M142" s="69">
        <f t="shared" si="37"/>
        <v>0</v>
      </c>
    </row>
    <row r="143" spans="1:13" ht="14" customHeight="1">
      <c r="A143" s="173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</row>
    <row r="144" spans="1:13" ht="14" customHeight="1">
      <c r="A144" s="178" t="s">
        <v>190</v>
      </c>
      <c r="B144" s="181"/>
      <c r="C144" s="49" t="s">
        <v>191</v>
      </c>
      <c r="D144" s="69"/>
      <c r="E144" s="69"/>
      <c r="F144" s="69"/>
      <c r="G144" s="69"/>
      <c r="H144" s="69"/>
      <c r="I144" s="69"/>
      <c r="J144" s="69"/>
      <c r="K144" s="69"/>
      <c r="L144" s="69"/>
      <c r="M144" s="69"/>
    </row>
    <row r="145" spans="1:13" ht="14" customHeight="1">
      <c r="A145" s="173"/>
      <c r="B145" s="182" t="s">
        <v>127</v>
      </c>
      <c r="C145" s="184" t="s">
        <v>192</v>
      </c>
      <c r="D145" s="69"/>
      <c r="E145" s="186" t="str">
        <f>IF(B144="x","",IF(B145="x","",IF(B146="x","",IF(B147="x","","DER SKAL SÆTTES KRYDS!!!"))))</f>
        <v/>
      </c>
      <c r="F145" s="69"/>
      <c r="G145" s="69"/>
      <c r="H145" s="69"/>
      <c r="I145" s="69"/>
      <c r="J145" s="69"/>
      <c r="K145" s="69"/>
      <c r="L145" s="69"/>
      <c r="M145" s="69"/>
    </row>
    <row r="146" spans="1:13" ht="14" customHeight="1">
      <c r="A146" s="173"/>
      <c r="B146" s="182"/>
      <c r="C146" s="184" t="s">
        <v>193</v>
      </c>
      <c r="D146" s="69"/>
      <c r="E146" s="69"/>
      <c r="F146" s="69"/>
      <c r="G146" s="69"/>
      <c r="H146" s="69"/>
      <c r="I146" s="69"/>
      <c r="J146" s="69"/>
      <c r="K146" s="69"/>
      <c r="L146" s="69"/>
      <c r="M146" s="69"/>
    </row>
    <row r="147" spans="1:13" ht="14" customHeight="1">
      <c r="A147" s="173"/>
      <c r="B147" s="183"/>
      <c r="C147" s="185" t="s">
        <v>194</v>
      </c>
      <c r="D147" s="69"/>
      <c r="E147" s="69"/>
      <c r="F147" s="69"/>
      <c r="G147" s="69"/>
      <c r="H147" s="69"/>
      <c r="I147" s="69"/>
      <c r="J147" s="69"/>
      <c r="K147" s="69"/>
      <c r="L147" s="69"/>
      <c r="M147" s="69"/>
    </row>
    <row r="148" spans="1:13" ht="14" customHeight="1">
      <c r="A148" s="173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</row>
    <row r="149" spans="1:13" ht="14" customHeight="1">
      <c r="A149" s="173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</row>
    <row r="150" spans="1:13" ht="14" customHeight="1">
      <c r="A150" s="173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</row>
    <row r="151" spans="1:13" ht="14" customHeight="1">
      <c r="A151" s="172" t="s">
        <v>218</v>
      </c>
    </row>
    <row r="152" spans="1:13" ht="14" customHeight="1"/>
    <row r="153" spans="1:13" ht="14" customHeight="1">
      <c r="A153" s="69" t="s">
        <v>33</v>
      </c>
    </row>
    <row r="154" spans="1:13" ht="14" customHeight="1">
      <c r="A154" s="173" t="s">
        <v>81</v>
      </c>
      <c r="B154" s="70"/>
      <c r="C154" s="70"/>
      <c r="D154" s="70"/>
      <c r="E154" s="70"/>
      <c r="F154" s="70"/>
      <c r="G154" s="70">
        <v>9.5000000000000001E-2</v>
      </c>
      <c r="H154" s="70"/>
      <c r="I154" s="70"/>
      <c r="J154" s="70"/>
      <c r="K154" s="70"/>
      <c r="L154" s="70"/>
      <c r="M154" s="70">
        <v>9.5000000000000001E-2</v>
      </c>
    </row>
    <row r="155" spans="1:13" ht="14" customHeight="1">
      <c r="A155" s="173" t="s">
        <v>80</v>
      </c>
      <c r="B155" s="69">
        <v>0</v>
      </c>
      <c r="C155" s="69">
        <f>+B155</f>
        <v>0</v>
      </c>
      <c r="D155" s="69">
        <f t="shared" ref="D155:M155" si="38">+C155</f>
        <v>0</v>
      </c>
      <c r="E155" s="69">
        <f t="shared" si="38"/>
        <v>0</v>
      </c>
      <c r="F155" s="69">
        <f t="shared" si="38"/>
        <v>0</v>
      </c>
      <c r="G155" s="69">
        <f t="shared" si="38"/>
        <v>0</v>
      </c>
      <c r="H155" s="69">
        <f t="shared" si="38"/>
        <v>0</v>
      </c>
      <c r="I155" s="69">
        <f t="shared" si="38"/>
        <v>0</v>
      </c>
      <c r="J155" s="69">
        <f t="shared" si="38"/>
        <v>0</v>
      </c>
      <c r="K155" s="69">
        <f t="shared" si="38"/>
        <v>0</v>
      </c>
      <c r="L155" s="69">
        <f t="shared" si="38"/>
        <v>0</v>
      </c>
      <c r="M155" s="69">
        <f t="shared" si="38"/>
        <v>0</v>
      </c>
    </row>
    <row r="156" spans="1:13" ht="14" customHeight="1">
      <c r="A156" s="173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</row>
    <row r="157" spans="1:13" ht="14" customHeight="1">
      <c r="A157" s="178" t="s">
        <v>190</v>
      </c>
      <c r="B157" s="181"/>
      <c r="C157" s="49" t="s">
        <v>191</v>
      </c>
      <c r="J157" s="67"/>
      <c r="K157" s="67"/>
      <c r="L157" s="67"/>
      <c r="M157" s="67"/>
    </row>
    <row r="158" spans="1:13" ht="14" customHeight="1">
      <c r="A158" s="173"/>
      <c r="B158" s="182"/>
      <c r="C158" s="184" t="s">
        <v>192</v>
      </c>
      <c r="D158" s="67"/>
      <c r="E158" s="186" t="str">
        <f>IF(B157="x","",IF(B158="x","",IF(B159="x","",IF(B160="x","","DER SKAL SÆTTES KRYDS!!!"))))</f>
        <v/>
      </c>
      <c r="F158" s="67"/>
      <c r="G158" s="67"/>
      <c r="H158" s="67"/>
      <c r="I158" s="67"/>
      <c r="J158" s="67"/>
      <c r="K158" s="67"/>
      <c r="L158" s="67"/>
      <c r="M158" s="67"/>
    </row>
    <row r="159" spans="1:13" ht="14" customHeight="1">
      <c r="A159" s="173"/>
      <c r="B159" s="182" t="s">
        <v>127</v>
      </c>
      <c r="C159" s="184" t="s">
        <v>193</v>
      </c>
    </row>
    <row r="160" spans="1:13" ht="14" customHeight="1">
      <c r="A160" s="173"/>
      <c r="B160" s="183"/>
      <c r="C160" s="185" t="s">
        <v>194</v>
      </c>
    </row>
    <row r="161" spans="1:13" ht="14" customHeight="1">
      <c r="A161" s="173"/>
      <c r="B161" s="180"/>
      <c r="C161" s="178"/>
    </row>
    <row r="162" spans="1:13" ht="14" customHeight="1">
      <c r="A162" s="173"/>
      <c r="B162" s="180"/>
      <c r="C162" s="178"/>
    </row>
    <row r="163" spans="1:13" ht="14" customHeight="1">
      <c r="A163" s="172" t="s">
        <v>219</v>
      </c>
      <c r="B163" s="179"/>
      <c r="C163" s="178"/>
    </row>
    <row r="164" spans="1:13" ht="14" customHeight="1">
      <c r="A164" s="172"/>
      <c r="B164" s="179"/>
      <c r="C164" s="178"/>
    </row>
    <row r="165" spans="1:13" ht="14" customHeight="1">
      <c r="A165" s="69" t="s">
        <v>33</v>
      </c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</row>
    <row r="166" spans="1:13" ht="14" customHeight="1">
      <c r="A166" s="173" t="s">
        <v>81</v>
      </c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>
        <v>0.1</v>
      </c>
    </row>
    <row r="167" spans="1:13" ht="14" customHeight="1">
      <c r="A167" s="173" t="s">
        <v>80</v>
      </c>
      <c r="B167" s="69">
        <v>0</v>
      </c>
      <c r="C167" s="69">
        <f>+B167</f>
        <v>0</v>
      </c>
      <c r="D167" s="69">
        <f t="shared" ref="D167:M167" si="39">+C167</f>
        <v>0</v>
      </c>
      <c r="E167" s="69">
        <f t="shared" si="39"/>
        <v>0</v>
      </c>
      <c r="F167" s="69">
        <f t="shared" si="39"/>
        <v>0</v>
      </c>
      <c r="G167" s="69">
        <f t="shared" si="39"/>
        <v>0</v>
      </c>
      <c r="H167" s="69">
        <f t="shared" si="39"/>
        <v>0</v>
      </c>
      <c r="I167" s="69">
        <f t="shared" si="39"/>
        <v>0</v>
      </c>
      <c r="J167" s="69">
        <f t="shared" si="39"/>
        <v>0</v>
      </c>
      <c r="K167" s="69">
        <f t="shared" si="39"/>
        <v>0</v>
      </c>
      <c r="L167" s="69">
        <f t="shared" si="39"/>
        <v>0</v>
      </c>
      <c r="M167" s="69">
        <f t="shared" si="39"/>
        <v>0</v>
      </c>
    </row>
    <row r="168" spans="1:13" ht="14" customHeight="1">
      <c r="A168" s="173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</row>
    <row r="169" spans="1:13" ht="14" customHeight="1">
      <c r="A169" s="178" t="s">
        <v>190</v>
      </c>
      <c r="B169" s="181"/>
      <c r="C169" s="49" t="s">
        <v>191</v>
      </c>
      <c r="D169" s="69"/>
      <c r="E169" s="69"/>
      <c r="F169" s="69"/>
      <c r="G169" s="69"/>
      <c r="H169" s="69"/>
      <c r="I169" s="69"/>
      <c r="J169" s="69"/>
      <c r="K169" s="69"/>
      <c r="L169" s="69"/>
      <c r="M169" s="69"/>
    </row>
    <row r="170" spans="1:13" ht="14" customHeight="1">
      <c r="A170" s="173"/>
      <c r="B170" s="182"/>
      <c r="C170" s="184" t="s">
        <v>192</v>
      </c>
      <c r="D170" s="69"/>
      <c r="E170" s="186" t="str">
        <f>IF(B169="x","",IF(B170="x","",IF(B171="x","",IF(B172="x","","DER SKAL SÆTTES KRYDS!!!"))))</f>
        <v/>
      </c>
      <c r="F170" s="69"/>
      <c r="G170" s="69"/>
      <c r="H170" s="69"/>
      <c r="I170" s="69"/>
      <c r="J170" s="69"/>
      <c r="K170" s="69"/>
      <c r="L170" s="69"/>
      <c r="M170" s="69"/>
    </row>
    <row r="171" spans="1:13" ht="14" customHeight="1">
      <c r="A171" s="173"/>
      <c r="B171" s="182"/>
      <c r="C171" s="184" t="s">
        <v>193</v>
      </c>
      <c r="D171" s="69"/>
      <c r="E171" s="69"/>
      <c r="F171" s="69"/>
      <c r="G171" s="69"/>
      <c r="H171" s="69"/>
      <c r="I171" s="69"/>
      <c r="J171" s="69"/>
      <c r="K171" s="69"/>
      <c r="L171" s="69"/>
      <c r="M171" s="69"/>
    </row>
    <row r="172" spans="1:13" ht="14" customHeight="1">
      <c r="A172" s="173"/>
      <c r="B172" s="183" t="s">
        <v>127</v>
      </c>
      <c r="C172" s="185" t="s">
        <v>194</v>
      </c>
      <c r="D172" s="69"/>
      <c r="E172" s="69"/>
      <c r="F172" s="69"/>
      <c r="G172" s="69"/>
      <c r="H172" s="69"/>
      <c r="I172" s="69"/>
      <c r="J172" s="69"/>
      <c r="K172" s="69"/>
      <c r="L172" s="69"/>
      <c r="M172" s="69"/>
    </row>
    <row r="173" spans="1:13" ht="14" customHeight="1">
      <c r="A173" s="173"/>
    </row>
    <row r="174" spans="1:13" ht="14" customHeight="1">
      <c r="A174" s="173"/>
    </row>
    <row r="175" spans="1:13" ht="14" customHeight="1">
      <c r="A175" s="172" t="s">
        <v>220</v>
      </c>
    </row>
    <row r="176" spans="1:13" ht="14" customHeight="1">
      <c r="A176" s="172"/>
    </row>
    <row r="177" spans="1:13" ht="14" customHeight="1">
      <c r="A177" s="69" t="s">
        <v>33</v>
      </c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</row>
    <row r="178" spans="1:13" ht="14" customHeight="1">
      <c r="A178" s="173" t="s">
        <v>81</v>
      </c>
      <c r="B178" s="70">
        <v>9.5000000000000001E-2</v>
      </c>
      <c r="C178" s="70">
        <f t="shared" ref="C178:M178" si="40">+B178</f>
        <v>9.5000000000000001E-2</v>
      </c>
      <c r="D178" s="70">
        <f t="shared" si="40"/>
        <v>9.5000000000000001E-2</v>
      </c>
      <c r="E178" s="70">
        <f t="shared" si="40"/>
        <v>9.5000000000000001E-2</v>
      </c>
      <c r="F178" s="70">
        <f t="shared" si="40"/>
        <v>9.5000000000000001E-2</v>
      </c>
      <c r="G178" s="70">
        <f t="shared" si="40"/>
        <v>9.5000000000000001E-2</v>
      </c>
      <c r="H178" s="70">
        <f t="shared" si="40"/>
        <v>9.5000000000000001E-2</v>
      </c>
      <c r="I178" s="70">
        <f t="shared" si="40"/>
        <v>9.5000000000000001E-2</v>
      </c>
      <c r="J178" s="70">
        <f t="shared" si="40"/>
        <v>9.5000000000000001E-2</v>
      </c>
      <c r="K178" s="70">
        <f t="shared" si="40"/>
        <v>9.5000000000000001E-2</v>
      </c>
      <c r="L178" s="70">
        <f t="shared" si="40"/>
        <v>9.5000000000000001E-2</v>
      </c>
      <c r="M178" s="70">
        <f t="shared" si="40"/>
        <v>9.5000000000000001E-2</v>
      </c>
    </row>
    <row r="179" spans="1:13" ht="14" customHeight="1">
      <c r="A179" s="173" t="s">
        <v>80</v>
      </c>
      <c r="B179" s="69">
        <v>0</v>
      </c>
      <c r="C179" s="69">
        <f>+B179</f>
        <v>0</v>
      </c>
      <c r="D179" s="69">
        <f t="shared" ref="D179:M179" si="41">+C179</f>
        <v>0</v>
      </c>
      <c r="E179" s="69">
        <f t="shared" si="41"/>
        <v>0</v>
      </c>
      <c r="F179" s="69">
        <f t="shared" si="41"/>
        <v>0</v>
      </c>
      <c r="G179" s="69">
        <f t="shared" si="41"/>
        <v>0</v>
      </c>
      <c r="H179" s="69">
        <f t="shared" si="41"/>
        <v>0</v>
      </c>
      <c r="I179" s="69">
        <f t="shared" si="41"/>
        <v>0</v>
      </c>
      <c r="J179" s="69">
        <f t="shared" si="41"/>
        <v>0</v>
      </c>
      <c r="K179" s="69">
        <f t="shared" si="41"/>
        <v>0</v>
      </c>
      <c r="L179" s="69">
        <f t="shared" si="41"/>
        <v>0</v>
      </c>
      <c r="M179" s="69">
        <f t="shared" si="41"/>
        <v>0</v>
      </c>
    </row>
    <row r="180" spans="1:13" ht="14" customHeight="1">
      <c r="A180" s="173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</row>
    <row r="181" spans="1:13" ht="14" customHeight="1">
      <c r="A181" s="178" t="s">
        <v>190</v>
      </c>
      <c r="B181" s="181" t="s">
        <v>127</v>
      </c>
      <c r="C181" s="49" t="s">
        <v>191</v>
      </c>
      <c r="D181" s="69"/>
      <c r="E181" s="69"/>
      <c r="F181" s="69"/>
      <c r="G181" s="69"/>
      <c r="H181" s="69"/>
      <c r="I181" s="69"/>
      <c r="J181" s="69"/>
      <c r="K181" s="69"/>
      <c r="L181" s="69"/>
      <c r="M181" s="69"/>
    </row>
    <row r="182" spans="1:13" ht="14" customHeight="1">
      <c r="A182" s="173"/>
      <c r="B182" s="182"/>
      <c r="C182" s="184" t="s">
        <v>192</v>
      </c>
      <c r="D182" s="69"/>
      <c r="E182" s="186" t="str">
        <f>IF(B181="x","",IF(B182="x","",IF(B183="x","",IF(B184="x","","DER SKAL SÆTTES KRYDS!!!"))))</f>
        <v/>
      </c>
      <c r="F182" s="69"/>
      <c r="G182" s="69"/>
      <c r="H182" s="69"/>
      <c r="I182" s="69"/>
      <c r="J182" s="69"/>
      <c r="K182" s="69"/>
      <c r="L182" s="69"/>
      <c r="M182" s="69"/>
    </row>
    <row r="183" spans="1:13" ht="14" customHeight="1">
      <c r="A183" s="173"/>
      <c r="B183" s="182"/>
      <c r="C183" s="184" t="s">
        <v>193</v>
      </c>
      <c r="D183" s="69"/>
      <c r="E183" s="69"/>
      <c r="F183" s="69"/>
      <c r="G183" s="69"/>
      <c r="H183" s="69"/>
      <c r="I183" s="69"/>
      <c r="J183" s="69"/>
      <c r="K183" s="69"/>
      <c r="L183" s="69"/>
      <c r="M183" s="69"/>
    </row>
    <row r="184" spans="1:13" ht="14" customHeight="1">
      <c r="A184" s="173"/>
      <c r="B184" s="183"/>
      <c r="C184" s="185" t="s">
        <v>194</v>
      </c>
      <c r="D184" s="69"/>
      <c r="E184" s="69"/>
      <c r="F184" s="69"/>
      <c r="G184" s="69"/>
      <c r="H184" s="69"/>
      <c r="I184" s="69"/>
      <c r="J184" s="69"/>
      <c r="K184" s="69"/>
      <c r="L184" s="69"/>
      <c r="M184" s="69"/>
    </row>
    <row r="185" spans="1:13" ht="14" customHeight="1">
      <c r="A185" s="173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</row>
    <row r="186" spans="1:13">
      <c r="A186" s="4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</row>
    <row r="187" spans="1:13">
      <c r="A187" s="4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</row>
    <row r="188" spans="1:13">
      <c r="A188" s="4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</row>
    <row r="189" spans="1:13">
      <c r="A189" s="41" t="s">
        <v>108</v>
      </c>
      <c r="B189" s="71">
        <v>0</v>
      </c>
      <c r="C189" s="71">
        <f>+B189</f>
        <v>0</v>
      </c>
      <c r="D189" s="71">
        <f t="shared" ref="D189:M189" si="42">+C189</f>
        <v>0</v>
      </c>
      <c r="E189" s="71">
        <f t="shared" si="42"/>
        <v>0</v>
      </c>
      <c r="F189" s="71">
        <f t="shared" si="42"/>
        <v>0</v>
      </c>
      <c r="G189" s="71">
        <f t="shared" si="42"/>
        <v>0</v>
      </c>
      <c r="H189" s="71">
        <f t="shared" si="42"/>
        <v>0</v>
      </c>
      <c r="I189" s="71">
        <f t="shared" si="42"/>
        <v>0</v>
      </c>
      <c r="J189" s="71">
        <f t="shared" si="42"/>
        <v>0</v>
      </c>
      <c r="K189" s="71">
        <f t="shared" si="42"/>
        <v>0</v>
      </c>
      <c r="L189" s="71">
        <f t="shared" si="42"/>
        <v>0</v>
      </c>
      <c r="M189" s="71">
        <f t="shared" si="42"/>
        <v>0</v>
      </c>
    </row>
    <row r="190" spans="1:13">
      <c r="A190" s="4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</row>
    <row r="191" spans="1:13">
      <c r="A191" s="4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</row>
    <row r="192" spans="1:13">
      <c r="A192" s="41" t="s">
        <v>110</v>
      </c>
      <c r="B192" s="71">
        <v>0</v>
      </c>
      <c r="C192" s="71">
        <f t="shared" ref="C192:M192" si="43">+B192</f>
        <v>0</v>
      </c>
      <c r="D192" s="71">
        <f t="shared" si="43"/>
        <v>0</v>
      </c>
      <c r="E192" s="71">
        <f t="shared" si="43"/>
        <v>0</v>
      </c>
      <c r="F192" s="71">
        <f t="shared" si="43"/>
        <v>0</v>
      </c>
      <c r="G192" s="71">
        <f t="shared" si="43"/>
        <v>0</v>
      </c>
      <c r="H192" s="71">
        <f t="shared" si="43"/>
        <v>0</v>
      </c>
      <c r="I192" s="71">
        <f t="shared" si="43"/>
        <v>0</v>
      </c>
      <c r="J192" s="71">
        <f t="shared" si="43"/>
        <v>0</v>
      </c>
      <c r="K192" s="71">
        <f t="shared" si="43"/>
        <v>0</v>
      </c>
      <c r="L192" s="71">
        <f t="shared" si="43"/>
        <v>0</v>
      </c>
      <c r="M192" s="71">
        <f t="shared" si="43"/>
        <v>0</v>
      </c>
    </row>
    <row r="193" spans="1:14">
      <c r="A193" s="4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</row>
    <row r="194" spans="1:14">
      <c r="A194" s="41"/>
    </row>
    <row r="195" spans="1:14">
      <c r="A195" s="28" t="s">
        <v>121</v>
      </c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</row>
    <row r="196" spans="1:14">
      <c r="A196" s="28"/>
      <c r="B196" s="27" t="s">
        <v>122</v>
      </c>
      <c r="C196" s="175" t="s">
        <v>127</v>
      </c>
      <c r="D196" s="27" t="s">
        <v>125</v>
      </c>
      <c r="E196" s="27"/>
      <c r="F196" s="74" t="str">
        <f>IF(-SUM(B204:M204)=B200,"","FEJL VED AFVILKING AF MOMS PRIMO!!")</f>
        <v/>
      </c>
      <c r="G196" s="27"/>
      <c r="H196" s="27"/>
      <c r="I196" s="27"/>
      <c r="J196" s="27"/>
      <c r="K196" s="27"/>
      <c r="L196" s="27"/>
      <c r="M196" s="27"/>
      <c r="N196" s="27"/>
    </row>
    <row r="197" spans="1:14">
      <c r="A197" s="28"/>
      <c r="B197" s="27"/>
      <c r="C197" s="175"/>
      <c r="D197" s="27" t="s">
        <v>123</v>
      </c>
      <c r="E197" s="27"/>
      <c r="F197" s="27"/>
      <c r="G197" s="27"/>
      <c r="H197" s="27"/>
      <c r="I197" s="27"/>
      <c r="J197" s="27"/>
      <c r="K197" s="27"/>
      <c r="L197" s="27"/>
      <c r="M197" s="27"/>
      <c r="N197" s="27"/>
    </row>
    <row r="198" spans="1:14">
      <c r="A198" s="28"/>
      <c r="B198" s="27"/>
      <c r="C198" s="175"/>
      <c r="D198" s="27" t="s">
        <v>124</v>
      </c>
      <c r="E198" s="27"/>
      <c r="F198" s="27"/>
      <c r="G198" s="27"/>
      <c r="H198" s="27"/>
      <c r="I198" s="27"/>
      <c r="J198" s="27"/>
      <c r="K198" s="27"/>
      <c r="L198" s="27"/>
      <c r="M198" s="27"/>
      <c r="N198" s="27"/>
    </row>
    <row r="199" spans="1:14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</row>
    <row r="200" spans="1:14">
      <c r="A200" s="27" t="s">
        <v>31</v>
      </c>
      <c r="B200" s="27">
        <f>ROUND(Balance!C64,0)</f>
        <v>0</v>
      </c>
      <c r="C200" s="27">
        <f>+B206</f>
        <v>0</v>
      </c>
      <c r="D200" s="27">
        <f t="shared" ref="D200:M200" si="44">+C206</f>
        <v>0</v>
      </c>
      <c r="E200" s="27">
        <f t="shared" si="44"/>
        <v>0</v>
      </c>
      <c r="F200" s="27" t="e">
        <f t="shared" si="44"/>
        <v>#REF!</v>
      </c>
      <c r="G200" s="27" t="e">
        <f t="shared" si="44"/>
        <v>#REF!</v>
      </c>
      <c r="H200" s="27" t="e">
        <f t="shared" si="44"/>
        <v>#REF!</v>
      </c>
      <c r="I200" s="27" t="e">
        <f t="shared" si="44"/>
        <v>#REF!</v>
      </c>
      <c r="J200" s="27" t="e">
        <f t="shared" si="44"/>
        <v>#REF!</v>
      </c>
      <c r="K200" s="27" t="e">
        <f t="shared" si="44"/>
        <v>#REF!</v>
      </c>
      <c r="L200" s="27" t="e">
        <f t="shared" si="44"/>
        <v>#REF!</v>
      </c>
      <c r="M200" s="27" t="e">
        <f t="shared" si="44"/>
        <v>#REF!</v>
      </c>
      <c r="N200" s="27"/>
    </row>
    <row r="201" spans="1:14">
      <c r="A201" s="27" t="s">
        <v>49</v>
      </c>
      <c r="B201" s="27">
        <f>+Momsspec.!B21</f>
        <v>0</v>
      </c>
      <c r="C201" s="27">
        <f>+Momsspec.!C21</f>
        <v>0</v>
      </c>
      <c r="D201" s="27">
        <f>+Momsspec.!D21</f>
        <v>0</v>
      </c>
      <c r="E201" s="27" t="e">
        <f>+Momsspec.!E21</f>
        <v>#REF!</v>
      </c>
      <c r="F201" s="27" t="e">
        <f>+Momsspec.!F21</f>
        <v>#REF!</v>
      </c>
      <c r="G201" s="27" t="e">
        <f>+Momsspec.!G21</f>
        <v>#REF!</v>
      </c>
      <c r="H201" s="27" t="e">
        <f>+Momsspec.!H21</f>
        <v>#REF!</v>
      </c>
      <c r="I201" s="27" t="e">
        <f>+Momsspec.!I21</f>
        <v>#REF!</v>
      </c>
      <c r="J201" s="27" t="e">
        <f>+Momsspec.!J21</f>
        <v>#REF!</v>
      </c>
      <c r="K201" s="27" t="e">
        <f>+Momsspec.!K21</f>
        <v>#REF!</v>
      </c>
      <c r="L201" s="27" t="e">
        <f>+Momsspec.!L21</f>
        <v>#REF!</v>
      </c>
      <c r="M201" s="27" t="e">
        <f>+Momsspec.!M21</f>
        <v>#REF!</v>
      </c>
      <c r="N201" s="27"/>
    </row>
    <row r="202" spans="1:14">
      <c r="A202" s="39" t="s">
        <v>50</v>
      </c>
      <c r="B202" s="27">
        <f>-Momsspec.!B39</f>
        <v>0</v>
      </c>
      <c r="C202" s="27">
        <f>-Momsspec.!C39</f>
        <v>0</v>
      </c>
      <c r="D202" s="27">
        <f>-Momsspec.!D39</f>
        <v>0</v>
      </c>
      <c r="E202" s="27" t="e">
        <f>-Momsspec.!E39</f>
        <v>#REF!</v>
      </c>
      <c r="F202" s="27" t="e">
        <f>-Momsspec.!F39</f>
        <v>#REF!</v>
      </c>
      <c r="G202" s="27" t="e">
        <f>-Momsspec.!G39</f>
        <v>#REF!</v>
      </c>
      <c r="H202" s="27" t="e">
        <f>-Momsspec.!H39</f>
        <v>#REF!</v>
      </c>
      <c r="I202" s="27" t="e">
        <f>-Momsspec.!I39</f>
        <v>#REF!</v>
      </c>
      <c r="J202" s="27" t="e">
        <f>-Momsspec.!J39</f>
        <v>#REF!</v>
      </c>
      <c r="K202" s="27" t="e">
        <f>-Momsspec.!K39</f>
        <v>#REF!</v>
      </c>
      <c r="L202" s="27" t="e">
        <f>-Momsspec.!L39</f>
        <v>#REF!</v>
      </c>
      <c r="M202" s="27" t="e">
        <f>-Momsspec.!M39</f>
        <v>#REF!</v>
      </c>
      <c r="N202" s="27"/>
    </row>
    <row r="203" spans="1:14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</row>
    <row r="204" spans="1:14">
      <c r="A204" s="27" t="s">
        <v>128</v>
      </c>
      <c r="B204" s="69">
        <f>ROUND(IF($C$196="x",-B200,IF($C$197="x",0,IF($C$198="x",0,0))),0)</f>
        <v>0</v>
      </c>
      <c r="C204" s="69">
        <f>ROUND(IF($C$196="x",0,IF($C$197="x",-$B$200,IF($C$198="x",0,0))),0)</f>
        <v>0</v>
      </c>
      <c r="D204" s="69">
        <v>0</v>
      </c>
      <c r="E204" s="69"/>
      <c r="F204" s="69"/>
      <c r="G204" s="69"/>
      <c r="H204" s="69"/>
      <c r="I204" s="69"/>
      <c r="J204" s="69"/>
      <c r="K204" s="69"/>
      <c r="L204" s="69"/>
      <c r="M204" s="69"/>
      <c r="N204" s="27"/>
    </row>
    <row r="205" spans="1:14">
      <c r="A205" s="27" t="s">
        <v>126</v>
      </c>
      <c r="B205" s="27">
        <f>ROUND(IF(C196="x",0,IF(C197="x",0,IF(C198="x",0,0))),0)</f>
        <v>0</v>
      </c>
      <c r="C205" s="27">
        <f>ROUND(IF($C$196="x",-SUM(B201:B202),IF($C$197="x",0,IF($C$198="x",0,0))),0)</f>
        <v>0</v>
      </c>
      <c r="D205" s="27">
        <f>ROUND(IF($C$196="x",-SUM(C201:C202),IF($C$197="x",0,IF($C$198="x",0,0))),0)</f>
        <v>0</v>
      </c>
      <c r="E205" s="27">
        <f>ROUND(IF($C$196="x",-SUM(D201:D202),IF($C$197="x",0,IF($C$198="x",0,0))),0)</f>
        <v>0</v>
      </c>
      <c r="F205" s="27" t="e">
        <f>ROUND(IF($C$196="x",-SUM(E201:E202),IF($C$197="x",-SUM(B201:D202),IF($C$198="x",0,0))),0)</f>
        <v>#REF!</v>
      </c>
      <c r="G205" s="27" t="e">
        <f>ROUND(IF($C$196="x",-SUM(F201:F202),IF($C$197="x",0,IF($C$198="x",0,0))),0)</f>
        <v>#REF!</v>
      </c>
      <c r="H205" s="27" t="e">
        <f>ROUND(IF($C$196="x",-SUM(G201:G202),IF($C$197="x",0,IF($C$198="x",0,0))),0)</f>
        <v>#REF!</v>
      </c>
      <c r="I205" s="27" t="e">
        <f>ROUND(IF($C$196="x",-SUM(H201:H202),IF($C$197="x",-SUM(E201:G202),IF($C$198="x",-SUM(B201:G202),0))),0)</f>
        <v>#REF!</v>
      </c>
      <c r="J205" s="27" t="e">
        <f>ROUND(IF($C$196="x",-SUM(I201:I202),IF($C$197="x",0,IF($C$198="x",0,0))),0)</f>
        <v>#REF!</v>
      </c>
      <c r="K205" s="27" t="e">
        <f>ROUND(IF($C$196="x",-SUM(J201:J202),IF($C$197="x",0,IF($C$198="x",0,0))),0)</f>
        <v>#REF!</v>
      </c>
      <c r="L205" s="27" t="e">
        <f>ROUND(IF($C$196="x",-SUM(K201:K202),IF($C$197="x",-SUM(H201:J202),IF($C$198="x",0,0))),0)</f>
        <v>#REF!</v>
      </c>
      <c r="M205" s="27" t="e">
        <f>ROUND(IF($C$196="x",-SUM(L201:L202),IF($C$197="x",0,IF($C$198="x",0,0))),0)</f>
        <v>#REF!</v>
      </c>
      <c r="N205" s="27"/>
    </row>
    <row r="206" spans="1:14">
      <c r="A206" s="28" t="s">
        <v>32</v>
      </c>
      <c r="B206" s="28">
        <f t="shared" ref="B206:M206" si="45">ROUND(SUM(B200:B205),0)</f>
        <v>0</v>
      </c>
      <c r="C206" s="28">
        <f t="shared" si="45"/>
        <v>0</v>
      </c>
      <c r="D206" s="28">
        <f t="shared" si="45"/>
        <v>0</v>
      </c>
      <c r="E206" s="28" t="e">
        <f t="shared" si="45"/>
        <v>#REF!</v>
      </c>
      <c r="F206" s="28" t="e">
        <f t="shared" si="45"/>
        <v>#REF!</v>
      </c>
      <c r="G206" s="28" t="e">
        <f t="shared" si="45"/>
        <v>#REF!</v>
      </c>
      <c r="H206" s="28" t="e">
        <f t="shared" si="45"/>
        <v>#REF!</v>
      </c>
      <c r="I206" s="28" t="e">
        <f t="shared" si="45"/>
        <v>#REF!</v>
      </c>
      <c r="J206" s="28" t="e">
        <f t="shared" si="45"/>
        <v>#REF!</v>
      </c>
      <c r="K206" s="28" t="e">
        <f t="shared" si="45"/>
        <v>#REF!</v>
      </c>
      <c r="L206" s="28" t="e">
        <f t="shared" si="45"/>
        <v>#REF!</v>
      </c>
      <c r="M206" s="28" t="e">
        <f t="shared" si="45"/>
        <v>#REF!</v>
      </c>
      <c r="N206" s="28"/>
    </row>
    <row r="207" spans="1:14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</row>
    <row r="208" spans="1:14">
      <c r="A208" s="4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</row>
    <row r="209" spans="1:16">
      <c r="A209" s="4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</row>
    <row r="211" spans="1:16">
      <c r="A211" s="41" t="s">
        <v>109</v>
      </c>
    </row>
    <row r="212" spans="1:16">
      <c r="A212" s="41"/>
    </row>
    <row r="213" spans="1:16">
      <c r="A213" s="44" t="s">
        <v>113</v>
      </c>
    </row>
    <row r="214" spans="1:16">
      <c r="A214" s="73" t="str">
        <f>+Budget!A7</f>
        <v xml:space="preserve">Mannehøj lomme A </v>
      </c>
      <c r="B214" s="69">
        <v>0</v>
      </c>
      <c r="C214" s="39" t="s">
        <v>111</v>
      </c>
      <c r="D214" s="72" t="str">
        <f t="shared" ref="D214:D219" si="46">IF(B214&gt;120,"FOR MANGE KREDITDAGE!!",IF(B214&lt;0,"FOR FÅ KREDITDAGE!!",""))</f>
        <v/>
      </c>
    </row>
    <row r="215" spans="1:16">
      <c r="A215" s="73" t="str">
        <f>+Budget!A8</f>
        <v>Mannehøj lomme B (VVP)</v>
      </c>
      <c r="B215" s="69">
        <v>0</v>
      </c>
      <c r="C215" s="39" t="s">
        <v>111</v>
      </c>
      <c r="D215" s="72" t="str">
        <f t="shared" si="46"/>
        <v/>
      </c>
    </row>
    <row r="216" spans="1:16">
      <c r="A216" s="73" t="str">
        <f>+Budget!A9</f>
        <v>Mannehøj lomme C</v>
      </c>
      <c r="B216" s="69">
        <v>0</v>
      </c>
      <c r="C216" s="39" t="s">
        <v>111</v>
      </c>
      <c r="D216" s="72" t="str">
        <f t="shared" si="46"/>
        <v/>
      </c>
    </row>
    <row r="217" spans="1:16">
      <c r="A217" s="73" t="str">
        <f>+Budget!A10</f>
        <v xml:space="preserve">Mannehøj lomme D </v>
      </c>
      <c r="B217" s="69">
        <v>0</v>
      </c>
      <c r="C217" s="39" t="s">
        <v>111</v>
      </c>
      <c r="D217" s="72" t="str">
        <f t="shared" si="46"/>
        <v/>
      </c>
    </row>
    <row r="218" spans="1:16">
      <c r="A218" s="73" t="str">
        <f>+Budget!A11</f>
        <v>Mannehøj lomme E</v>
      </c>
      <c r="B218" s="69">
        <v>0</v>
      </c>
      <c r="C218" s="39" t="s">
        <v>111</v>
      </c>
      <c r="D218" s="72" t="str">
        <f t="shared" si="46"/>
        <v/>
      </c>
    </row>
    <row r="219" spans="1:16">
      <c r="A219" s="73" t="str">
        <f>+Budget!A14</f>
        <v>Kongehøj lomme B</v>
      </c>
      <c r="B219" s="69">
        <v>0</v>
      </c>
      <c r="C219" s="39" t="s">
        <v>111</v>
      </c>
      <c r="D219" s="72" t="str">
        <f t="shared" si="46"/>
        <v/>
      </c>
    </row>
    <row r="220" spans="1:16">
      <c r="A220" s="73"/>
      <c r="B220" s="69"/>
    </row>
    <row r="221" spans="1:16">
      <c r="A221" s="41"/>
      <c r="B221" s="74" t="str">
        <f>IF(-SUM(B236:M236)=B222,"","FEJL VED AFVILKING AF DEBITORER PRIMO!!")</f>
        <v/>
      </c>
    </row>
    <row r="222" spans="1:16" s="27" customFormat="1" ht="14" customHeight="1">
      <c r="A222" s="27" t="s">
        <v>29</v>
      </c>
      <c r="B222" s="27">
        <f>+Balance!C22</f>
        <v>0</v>
      </c>
      <c r="C222" s="27">
        <f t="shared" ref="C222:M222" si="47">B243</f>
        <v>0</v>
      </c>
      <c r="D222" s="27">
        <f t="shared" si="47"/>
        <v>0</v>
      </c>
      <c r="E222" s="27">
        <f t="shared" si="47"/>
        <v>0</v>
      </c>
      <c r="F222" s="27" t="e">
        <f t="shared" si="47"/>
        <v>#REF!</v>
      </c>
      <c r="G222" s="27" t="e">
        <f t="shared" si="47"/>
        <v>#REF!</v>
      </c>
      <c r="H222" s="27" t="e">
        <f t="shared" si="47"/>
        <v>#REF!</v>
      </c>
      <c r="I222" s="27" t="e">
        <f t="shared" si="47"/>
        <v>#REF!</v>
      </c>
      <c r="J222" s="27" t="e">
        <f t="shared" si="47"/>
        <v>#REF!</v>
      </c>
      <c r="K222" s="27" t="e">
        <f t="shared" si="47"/>
        <v>#REF!</v>
      </c>
      <c r="L222" s="27" t="e">
        <f t="shared" si="47"/>
        <v>#REF!</v>
      </c>
      <c r="M222" s="27" t="e">
        <f t="shared" si="47"/>
        <v>#REF!</v>
      </c>
      <c r="O222" s="114"/>
      <c r="P222" s="40"/>
    </row>
    <row r="223" spans="1:16" s="27" customFormat="1" ht="14" customHeight="1">
      <c r="A223" s="27" t="str">
        <f>+Budget!A7</f>
        <v xml:space="preserve">Mannehøj lomme A </v>
      </c>
      <c r="B223" s="27">
        <f>+Budget!C7</f>
        <v>25300</v>
      </c>
      <c r="C223" s="27">
        <f>+Budget!E7</f>
        <v>31050</v>
      </c>
      <c r="D223" s="27">
        <f>+Budget!G7</f>
        <v>32200</v>
      </c>
      <c r="E223" s="27" t="e">
        <f>+Budget!#REF!</f>
        <v>#REF!</v>
      </c>
      <c r="F223" s="27" t="e">
        <f>+Budget!#REF!</f>
        <v>#REF!</v>
      </c>
      <c r="G223" s="27" t="e">
        <f>+Budget!#REF!</f>
        <v>#REF!</v>
      </c>
      <c r="H223" s="27" t="e">
        <f>+Budget!#REF!</f>
        <v>#REF!</v>
      </c>
      <c r="I223" s="27" t="e">
        <f>+Budget!#REF!</f>
        <v>#REF!</v>
      </c>
      <c r="J223" s="27" t="e">
        <f>+Budget!#REF!</f>
        <v>#REF!</v>
      </c>
      <c r="K223" s="27" t="e">
        <f>+Budget!#REF!</f>
        <v>#REF!</v>
      </c>
      <c r="L223" s="27" t="e">
        <f>+Budget!#REF!</f>
        <v>#REF!</v>
      </c>
      <c r="M223" s="27" t="e">
        <f>+Budget!#REF!</f>
        <v>#REF!</v>
      </c>
      <c r="O223" s="114"/>
      <c r="P223" s="40"/>
    </row>
    <row r="224" spans="1:16" s="27" customFormat="1" ht="14" customHeight="1">
      <c r="A224" s="27" t="s">
        <v>30</v>
      </c>
      <c r="B224" s="27">
        <f>ROUND(IF(Budget!$N$7="S",B223*B192,0),0)</f>
        <v>0</v>
      </c>
      <c r="C224" s="27">
        <f>ROUND(IF(Budget!$N$7="S",C223*C192,0),0)</f>
        <v>0</v>
      </c>
      <c r="D224" s="27">
        <f>ROUND(IF(Budget!$N$7="S",D223*D192,0),0)</f>
        <v>0</v>
      </c>
      <c r="E224" s="27">
        <f>ROUND(IF(Budget!$N$7="S",E223*E192,0),0)</f>
        <v>0</v>
      </c>
      <c r="F224" s="27">
        <f>ROUND(IF(Budget!$N$7="S",F223*F192,0),0)</f>
        <v>0</v>
      </c>
      <c r="G224" s="27">
        <f>ROUND(IF(Budget!$N$7="S",G223*G192,0),0)</f>
        <v>0</v>
      </c>
      <c r="H224" s="27">
        <f>ROUND(IF(Budget!$N$7="S",H223*H192,0),0)</f>
        <v>0</v>
      </c>
      <c r="I224" s="27">
        <f>ROUND(IF(Budget!$N$7="S",I223*I192,0),0)</f>
        <v>0</v>
      </c>
      <c r="J224" s="27">
        <f>ROUND(IF(Budget!$N$7="S",J223*J192,0),0)</f>
        <v>0</v>
      </c>
      <c r="K224" s="27">
        <f>ROUND(IF(Budget!$N$7="S",K223*K192,0),0)</f>
        <v>0</v>
      </c>
      <c r="L224" s="27">
        <f>ROUND(IF(Budget!$N$7="S",L223*L192,0),0)</f>
        <v>0</v>
      </c>
      <c r="M224" s="27">
        <f>ROUND(IF(Budget!$N$7="S",M223*M192,0),0)</f>
        <v>0</v>
      </c>
      <c r="O224" s="114"/>
      <c r="P224" s="40"/>
    </row>
    <row r="225" spans="1:16" s="27" customFormat="1" ht="14" customHeight="1">
      <c r="A225" s="27" t="str">
        <f>+Budget!A8</f>
        <v>Mannehøj lomme B (VVP)</v>
      </c>
      <c r="B225" s="27">
        <f>+Budget!C8</f>
        <v>35200</v>
      </c>
      <c r="C225" s="27">
        <f>+Budget!E8</f>
        <v>43200</v>
      </c>
      <c r="D225" s="27">
        <f>+Budget!G8</f>
        <v>44800</v>
      </c>
      <c r="E225" s="27" t="e">
        <f>+Budget!#REF!</f>
        <v>#REF!</v>
      </c>
      <c r="F225" s="27" t="e">
        <f>+Budget!#REF!</f>
        <v>#REF!</v>
      </c>
      <c r="G225" s="27" t="e">
        <f>+Budget!#REF!</f>
        <v>#REF!</v>
      </c>
      <c r="H225" s="27" t="e">
        <f>+Budget!#REF!</f>
        <v>#REF!</v>
      </c>
      <c r="I225" s="27" t="e">
        <f>+Budget!#REF!</f>
        <v>#REF!</v>
      </c>
      <c r="J225" s="27" t="e">
        <f>+Budget!#REF!</f>
        <v>#REF!</v>
      </c>
      <c r="K225" s="27" t="e">
        <f>+Budget!#REF!</f>
        <v>#REF!</v>
      </c>
      <c r="L225" s="27" t="e">
        <f>+Budget!#REF!</f>
        <v>#REF!</v>
      </c>
      <c r="M225" s="27" t="e">
        <f>+Budget!#REF!</f>
        <v>#REF!</v>
      </c>
      <c r="O225" s="114"/>
      <c r="P225" s="40"/>
    </row>
    <row r="226" spans="1:16" s="27" customFormat="1" ht="14" customHeight="1">
      <c r="A226" s="27" t="s">
        <v>30</v>
      </c>
      <c r="B226" s="27">
        <f>ROUND(IF(Budget!$N$8="S",B225*B192,0),0)</f>
        <v>0</v>
      </c>
      <c r="C226" s="27">
        <f>ROUND(IF(Budget!$N$8="S",C225*C192,0),0)</f>
        <v>0</v>
      </c>
      <c r="D226" s="27">
        <f>ROUND(IF(Budget!$N$8="S",D225*D192,0),0)</f>
        <v>0</v>
      </c>
      <c r="E226" s="27">
        <f>ROUND(IF(Budget!$N$8="S",E225*E192,0),0)</f>
        <v>0</v>
      </c>
      <c r="F226" s="27">
        <f>ROUND(IF(Budget!$N$8="S",F225*F192,0),0)</f>
        <v>0</v>
      </c>
      <c r="G226" s="27">
        <f>ROUND(IF(Budget!$N$8="S",G225*G192,0),0)</f>
        <v>0</v>
      </c>
      <c r="H226" s="27">
        <f>ROUND(IF(Budget!$N$8="S",H225*H192,0),0)</f>
        <v>0</v>
      </c>
      <c r="I226" s="27">
        <f>ROUND(IF(Budget!$N$8="S",I225*I192,0),0)</f>
        <v>0</v>
      </c>
      <c r="J226" s="27">
        <f>ROUND(IF(Budget!$N$8="S",J225*J192,0),0)</f>
        <v>0</v>
      </c>
      <c r="K226" s="27">
        <f>ROUND(IF(Budget!$N$8="S",K225*K192,0),0)</f>
        <v>0</v>
      </c>
      <c r="L226" s="27">
        <f>ROUND(IF(Budget!$N$8="S",L225*L192,0),0)</f>
        <v>0</v>
      </c>
      <c r="M226" s="27">
        <f>ROUND(IF(Budget!$N$8="S",M225*M192,0),0)</f>
        <v>0</v>
      </c>
      <c r="O226" s="114"/>
      <c r="P226" s="40"/>
    </row>
    <row r="227" spans="1:16" s="27" customFormat="1" ht="14" customHeight="1">
      <c r="A227" s="27" t="str">
        <f>+Budget!A9</f>
        <v>Mannehøj lomme C</v>
      </c>
      <c r="B227" s="27">
        <f>+Budget!C9</f>
        <v>35200</v>
      </c>
      <c r="C227" s="27">
        <f>+Budget!E9</f>
        <v>43200</v>
      </c>
      <c r="D227" s="27">
        <f>+Budget!G9</f>
        <v>44800</v>
      </c>
      <c r="E227" s="27" t="e">
        <f>+Budget!#REF!</f>
        <v>#REF!</v>
      </c>
      <c r="F227" s="27" t="e">
        <f>+Budget!#REF!</f>
        <v>#REF!</v>
      </c>
      <c r="G227" s="27" t="e">
        <f>+Budget!#REF!</f>
        <v>#REF!</v>
      </c>
      <c r="H227" s="27" t="e">
        <f>+Budget!#REF!</f>
        <v>#REF!</v>
      </c>
      <c r="I227" s="27" t="e">
        <f>+Budget!#REF!</f>
        <v>#REF!</v>
      </c>
      <c r="J227" s="27" t="e">
        <f>+Budget!#REF!</f>
        <v>#REF!</v>
      </c>
      <c r="K227" s="27" t="e">
        <f>+Budget!#REF!</f>
        <v>#REF!</v>
      </c>
      <c r="L227" s="27" t="e">
        <f>+Budget!#REF!</f>
        <v>#REF!</v>
      </c>
      <c r="M227" s="27" t="e">
        <f>+Budget!#REF!</f>
        <v>#REF!</v>
      </c>
      <c r="O227" s="114"/>
      <c r="P227" s="40"/>
    </row>
    <row r="228" spans="1:16" s="27" customFormat="1" ht="14" customHeight="1">
      <c r="A228" s="27" t="s">
        <v>30</v>
      </c>
      <c r="B228" s="27">
        <f>ROUND(IF(Budget!$N$9="S",B227*B$192,0),0)</f>
        <v>0</v>
      </c>
      <c r="C228" s="27">
        <f>ROUND(IF(Budget!$N$9="S",C227*C$192,0),0)</f>
        <v>0</v>
      </c>
      <c r="D228" s="27">
        <f>ROUND(IF(Budget!$N$9="S",D227*D$192,0),0)</f>
        <v>0</v>
      </c>
      <c r="E228" s="27">
        <f>ROUND(IF(Budget!$N$9="S",E227*E$192,0),0)</f>
        <v>0</v>
      </c>
      <c r="F228" s="27">
        <f>ROUND(IF(Budget!$N$9="S",F227*F$192,0),0)</f>
        <v>0</v>
      </c>
      <c r="G228" s="27">
        <f>ROUND(IF(Budget!$N$9="S",G227*G$192,0),0)</f>
        <v>0</v>
      </c>
      <c r="H228" s="27">
        <f>ROUND(IF(Budget!$N$9="S",H227*H$192,0),0)</f>
        <v>0</v>
      </c>
      <c r="I228" s="27">
        <f>ROUND(IF(Budget!$N$9="S",I227*I$192,0),0)</f>
        <v>0</v>
      </c>
      <c r="J228" s="27">
        <f>ROUND(IF(Budget!$N$9="S",J227*J$192,0),0)</f>
        <v>0</v>
      </c>
      <c r="K228" s="27">
        <f>ROUND(IF(Budget!$N$9="S",K227*K$192,0),0)</f>
        <v>0</v>
      </c>
      <c r="L228" s="27">
        <f>ROUND(IF(Budget!$N$9="S",L227*L$192,0),0)</f>
        <v>0</v>
      </c>
      <c r="M228" s="27">
        <f>ROUND(IF(Budget!$N$9="S",M227*M$192,0),0)</f>
        <v>0</v>
      </c>
      <c r="O228" s="114"/>
      <c r="P228" s="40"/>
    </row>
    <row r="229" spans="1:16" s="27" customFormat="1" ht="14" customHeight="1">
      <c r="A229" s="27" t="str">
        <f>+Budget!A10</f>
        <v xml:space="preserve">Mannehøj lomme D </v>
      </c>
      <c r="B229" s="27">
        <f>+Budget!C10</f>
        <v>31900</v>
      </c>
      <c r="C229" s="27">
        <f>+Budget!E10</f>
        <v>39150</v>
      </c>
      <c r="D229" s="27">
        <f>+Budget!G10</f>
        <v>40600</v>
      </c>
      <c r="E229" s="27" t="e">
        <f>+Budget!#REF!</f>
        <v>#REF!</v>
      </c>
      <c r="F229" s="27" t="e">
        <f>+Budget!#REF!</f>
        <v>#REF!</v>
      </c>
      <c r="G229" s="27" t="e">
        <f>+Budget!#REF!</f>
        <v>#REF!</v>
      </c>
      <c r="H229" s="27" t="e">
        <f>+Budget!#REF!</f>
        <v>#REF!</v>
      </c>
      <c r="I229" s="27" t="e">
        <f>+Budget!#REF!</f>
        <v>#REF!</v>
      </c>
      <c r="J229" s="27" t="e">
        <f>+Budget!#REF!</f>
        <v>#REF!</v>
      </c>
      <c r="K229" s="27" t="e">
        <f>+Budget!#REF!</f>
        <v>#REF!</v>
      </c>
      <c r="L229" s="27" t="e">
        <f>+Budget!#REF!</f>
        <v>#REF!</v>
      </c>
      <c r="M229" s="27" t="e">
        <f>+Budget!#REF!</f>
        <v>#REF!</v>
      </c>
      <c r="O229" s="114"/>
      <c r="P229" s="40"/>
    </row>
    <row r="230" spans="1:16" s="27" customFormat="1" ht="14" customHeight="1">
      <c r="A230" s="27" t="s">
        <v>30</v>
      </c>
      <c r="B230" s="27">
        <f>ROUND(IF(Budget!$N$10="S",B229*B$192,0),0)</f>
        <v>0</v>
      </c>
      <c r="C230" s="27">
        <f>ROUND(IF(Budget!$N$10="S",C229*C$192,0),0)</f>
        <v>0</v>
      </c>
      <c r="D230" s="27">
        <f>ROUND(IF(Budget!$N$10="S",D229*D$192,0),0)</f>
        <v>0</v>
      </c>
      <c r="E230" s="27">
        <f>ROUND(IF(Budget!$N$10="S",E229*E$192,0),0)</f>
        <v>0</v>
      </c>
      <c r="F230" s="27">
        <f>ROUND(IF(Budget!$N$10="S",F229*F$192,0),0)</f>
        <v>0</v>
      </c>
      <c r="G230" s="27">
        <f>ROUND(IF(Budget!$N$10="S",G229*G$192,0),0)</f>
        <v>0</v>
      </c>
      <c r="H230" s="27">
        <f>ROUND(IF(Budget!$N$10="S",H229*H$192,0),0)</f>
        <v>0</v>
      </c>
      <c r="I230" s="27">
        <f>ROUND(IF(Budget!$N$10="S",I229*I$192,0),0)</f>
        <v>0</v>
      </c>
      <c r="J230" s="27">
        <f>ROUND(IF(Budget!$N$10="S",J229*J$192,0),0)</f>
        <v>0</v>
      </c>
      <c r="K230" s="27">
        <f>ROUND(IF(Budget!$N$10="S",K229*K$192,0),0)</f>
        <v>0</v>
      </c>
      <c r="L230" s="27">
        <f>ROUND(IF(Budget!$N$10="S",L229*L$192,0),0)</f>
        <v>0</v>
      </c>
      <c r="M230" s="27">
        <f>ROUND(IF(Budget!$N$10="S",M229*M$192,0),0)</f>
        <v>0</v>
      </c>
      <c r="O230" s="114"/>
      <c r="P230" s="40"/>
    </row>
    <row r="231" spans="1:16" s="27" customFormat="1" ht="14" customHeight="1">
      <c r="A231" s="27" t="str">
        <f>+Budget!A11</f>
        <v>Mannehøj lomme E</v>
      </c>
      <c r="B231" s="27">
        <f>+Budget!C11</f>
        <v>27500</v>
      </c>
      <c r="C231" s="27">
        <f>+Budget!E11</f>
        <v>35100</v>
      </c>
      <c r="D231" s="27">
        <f>+Budget!G11</f>
        <v>37800</v>
      </c>
      <c r="E231" s="27" t="e">
        <f>+Budget!#REF!</f>
        <v>#REF!</v>
      </c>
      <c r="F231" s="27" t="e">
        <f>+Budget!#REF!</f>
        <v>#REF!</v>
      </c>
      <c r="G231" s="27" t="e">
        <f>+Budget!#REF!</f>
        <v>#REF!</v>
      </c>
      <c r="H231" s="27" t="e">
        <f>+Budget!#REF!</f>
        <v>#REF!</v>
      </c>
      <c r="I231" s="27" t="e">
        <f>+Budget!#REF!</f>
        <v>#REF!</v>
      </c>
      <c r="J231" s="27" t="e">
        <f>+Budget!#REF!</f>
        <v>#REF!</v>
      </c>
      <c r="K231" s="27" t="e">
        <f>+Budget!#REF!</f>
        <v>#REF!</v>
      </c>
      <c r="L231" s="27" t="e">
        <f>+Budget!#REF!</f>
        <v>#REF!</v>
      </c>
      <c r="M231" s="27" t="e">
        <f>+Budget!#REF!</f>
        <v>#REF!</v>
      </c>
      <c r="O231" s="114"/>
      <c r="P231" s="40"/>
    </row>
    <row r="232" spans="1:16" s="27" customFormat="1" ht="14" customHeight="1">
      <c r="A232" s="27" t="s">
        <v>30</v>
      </c>
      <c r="B232" s="27">
        <f>ROUND(IF(Budget!$N$11="S",B231*B$192,0),0)</f>
        <v>0</v>
      </c>
      <c r="C232" s="27">
        <f>ROUND(IF(Budget!$N$11="S",C231*C$192,0),0)</f>
        <v>0</v>
      </c>
      <c r="D232" s="27">
        <f>ROUND(IF(Budget!$N$11="S",D231*D$192,0),0)</f>
        <v>0</v>
      </c>
      <c r="E232" s="27">
        <f>ROUND(IF(Budget!$N$11="S",E231*E$192,0),0)</f>
        <v>0</v>
      </c>
      <c r="F232" s="27">
        <f>ROUND(IF(Budget!$N$11="S",F231*F$192,0),0)</f>
        <v>0</v>
      </c>
      <c r="G232" s="27">
        <f>ROUND(IF(Budget!$N$11="S",G231*G$192,0),0)</f>
        <v>0</v>
      </c>
      <c r="H232" s="27">
        <f>ROUND(IF(Budget!$N$11="S",H231*H$192,0),0)</f>
        <v>0</v>
      </c>
      <c r="I232" s="27">
        <f>ROUND(IF(Budget!$N$11="S",I231*I$192,0),0)</f>
        <v>0</v>
      </c>
      <c r="J232" s="27">
        <f>ROUND(IF(Budget!$N$11="S",J231*J$192,0),0)</f>
        <v>0</v>
      </c>
      <c r="K232" s="27">
        <f>ROUND(IF(Budget!$N$11="S",K231*K$192,0),0)</f>
        <v>0</v>
      </c>
      <c r="L232" s="27">
        <f>ROUND(IF(Budget!$N$11="S",L231*L$192,0),0)</f>
        <v>0</v>
      </c>
      <c r="M232" s="27">
        <f>ROUND(IF(Budget!$N$11="S",M231*M$192,0),0)</f>
        <v>0</v>
      </c>
      <c r="O232" s="114"/>
      <c r="P232" s="40"/>
    </row>
    <row r="233" spans="1:16" s="27" customFormat="1" ht="14" customHeight="1">
      <c r="A233" s="27" t="str">
        <f>+Budget!A14</f>
        <v>Kongehøj lomme B</v>
      </c>
      <c r="B233" s="27">
        <f>+Budget!C14</f>
        <v>37400</v>
      </c>
      <c r="C233" s="27">
        <f>+Budget!E14</f>
        <v>45900</v>
      </c>
      <c r="D233" s="27">
        <f>+Budget!G14</f>
        <v>47250</v>
      </c>
      <c r="E233" s="27" t="e">
        <f>+Budget!#REF!</f>
        <v>#REF!</v>
      </c>
      <c r="F233" s="27" t="e">
        <f>+Budget!#REF!</f>
        <v>#REF!</v>
      </c>
      <c r="G233" s="27" t="e">
        <f>+Budget!#REF!</f>
        <v>#REF!</v>
      </c>
      <c r="H233" s="27" t="e">
        <f>+Budget!#REF!</f>
        <v>#REF!</v>
      </c>
      <c r="I233" s="27" t="e">
        <f>+Budget!#REF!</f>
        <v>#REF!</v>
      </c>
      <c r="J233" s="27" t="e">
        <f>+Budget!#REF!</f>
        <v>#REF!</v>
      </c>
      <c r="K233" s="27" t="e">
        <f>+Budget!#REF!</f>
        <v>#REF!</v>
      </c>
      <c r="L233" s="27" t="e">
        <f>+Budget!#REF!</f>
        <v>#REF!</v>
      </c>
      <c r="M233" s="27" t="e">
        <f>+Budget!#REF!</f>
        <v>#REF!</v>
      </c>
      <c r="O233" s="114"/>
      <c r="P233" s="40"/>
    </row>
    <row r="234" spans="1:16" s="27" customFormat="1" ht="14" customHeight="1">
      <c r="A234" s="27" t="s">
        <v>30</v>
      </c>
      <c r="B234" s="27">
        <f>ROUND(IF(Budget!$N$14="S",B233*B$192,0),0)</f>
        <v>0</v>
      </c>
      <c r="C234" s="27">
        <f>ROUND(IF(Budget!$N$14="S",C233*C$192,0),0)</f>
        <v>0</v>
      </c>
      <c r="D234" s="27">
        <f>ROUND(IF(Budget!$N$14="S",D233*D$192,0),0)</f>
        <v>0</v>
      </c>
      <c r="E234" s="27">
        <f>ROUND(IF(Budget!$N$14="S",E233*E$192,0),0)</f>
        <v>0</v>
      </c>
      <c r="F234" s="27">
        <f>ROUND(IF(Budget!$N$14="S",F233*F$192,0),0)</f>
        <v>0</v>
      </c>
      <c r="G234" s="27">
        <f>ROUND(IF(Budget!$N$14="S",G233*G$192,0),0)</f>
        <v>0</v>
      </c>
      <c r="H234" s="27">
        <f>ROUND(IF(Budget!$N$14="S",H233*H$192,0),0)</f>
        <v>0</v>
      </c>
      <c r="I234" s="27">
        <f>ROUND(IF(Budget!$N$14="S",I233*I$192,0),0)</f>
        <v>0</v>
      </c>
      <c r="J234" s="27">
        <f>ROUND(IF(Budget!$N$14="S",J233*J$192,0),0)</f>
        <v>0</v>
      </c>
      <c r="K234" s="27">
        <f>ROUND(IF(Budget!$N$14="S",K233*K$192,0),0)</f>
        <v>0</v>
      </c>
      <c r="L234" s="27">
        <f>ROUND(IF(Budget!$N$14="S",L233*L$192,0),0)</f>
        <v>0</v>
      </c>
      <c r="M234" s="27">
        <f>ROUND(IF(Budget!$N$14="S",M233*M$192,0),0)</f>
        <v>0</v>
      </c>
      <c r="O234" s="114"/>
      <c r="P234" s="40"/>
    </row>
    <row r="235" spans="1:16" s="28" customFormat="1" ht="21" customHeight="1">
      <c r="B235" s="75">
        <f>ROUND(SUM(B222:B234),0)</f>
        <v>192500</v>
      </c>
      <c r="C235" s="75">
        <f t="shared" ref="C235:M235" si="48">ROUND(SUM(C222:C234),0)</f>
        <v>237600</v>
      </c>
      <c r="D235" s="75">
        <f t="shared" si="48"/>
        <v>247450</v>
      </c>
      <c r="E235" s="75" t="e">
        <f t="shared" si="48"/>
        <v>#REF!</v>
      </c>
      <c r="F235" s="75" t="e">
        <f t="shared" si="48"/>
        <v>#REF!</v>
      </c>
      <c r="G235" s="75" t="e">
        <f t="shared" si="48"/>
        <v>#REF!</v>
      </c>
      <c r="H235" s="75" t="e">
        <f t="shared" si="48"/>
        <v>#REF!</v>
      </c>
      <c r="I235" s="75" t="e">
        <f t="shared" si="48"/>
        <v>#REF!</v>
      </c>
      <c r="J235" s="75" t="e">
        <f t="shared" si="48"/>
        <v>#REF!</v>
      </c>
      <c r="K235" s="75" t="e">
        <f t="shared" si="48"/>
        <v>#REF!</v>
      </c>
      <c r="L235" s="75" t="e">
        <f t="shared" si="48"/>
        <v>#REF!</v>
      </c>
      <c r="M235" s="75" t="e">
        <f t="shared" si="48"/>
        <v>#REF!</v>
      </c>
      <c r="O235" s="114"/>
      <c r="P235" s="40"/>
    </row>
    <row r="236" spans="1:16" s="28" customFormat="1" ht="21" customHeight="1">
      <c r="A236" s="27" t="s">
        <v>112</v>
      </c>
      <c r="B236" s="76">
        <v>0</v>
      </c>
      <c r="C236" s="76">
        <v>0</v>
      </c>
      <c r="D236" s="76">
        <v>0</v>
      </c>
      <c r="E236" s="76"/>
      <c r="F236" s="76"/>
      <c r="G236" s="76"/>
      <c r="H236" s="76"/>
      <c r="I236" s="76"/>
      <c r="J236" s="76"/>
      <c r="K236" s="76"/>
      <c r="L236" s="76"/>
      <c r="M236" s="76"/>
      <c r="O236" s="114"/>
      <c r="P236" s="40"/>
    </row>
    <row r="237" spans="1:16" s="27" customFormat="1" ht="14" customHeight="1">
      <c r="A237" s="77" t="s">
        <v>195</v>
      </c>
      <c r="B237" s="78">
        <f>ROUND(IF($B$214&gt;120,0,IF($B$214&gt;90,0,IF($B$214&gt;60,0,IF($B$214&gt;30,0,IF($B$214&gt;-1,-((30-$B$214)/30*(B223+B224)),0))))),0)</f>
        <v>-25300</v>
      </c>
      <c r="C237" s="78">
        <f>ROUND(IF($B$214&gt;120,0,IF($B$214&gt;90,0,IF($B$214&gt;60,0,IF($B$214&gt;30,-((60-$B$214)/30*(B223+B224)),IF($B$214&gt;-1,-((B223+B224)-((30-$B$214)/30*(B223+B224))+(30-$B$214)/30*(C223+C224)),0))))),0)</f>
        <v>-31050</v>
      </c>
      <c r="D237" s="78">
        <f>ROUND(IF($B$214&gt;120,0,IF($B$214&gt;90,0,IF($B$214&gt;60,-((90-$B$214)/30*(B223+B224)),IF($B$214&gt;30,-((B223+B224)-((60-$B$214)/30*(B223+B224))+((60-$B$214)/30*(C223+C224))),IF($B$214&gt;-1,-((C223+C224)-((30-$B$214)/30*(C223+C224))+(30-$B$214)/30*(D223+D224)),0))))),0)</f>
        <v>-32200</v>
      </c>
      <c r="E237" s="78" t="e">
        <f>ROUND(IF($B$214&gt;120,0,IF($B$214&gt;90,-((120-$B$214)/30*(B223+B224)),IF($B$214&gt;60,-((B223+B224)-((90-$B$214)/30*(B223+B224))+((90-$B$214)/30*(C223+C224))),IF($B$214&gt;30,-((C223+C224)-((60-$B$214)/30*(C223+C224))+((60-$B$214)/30*(D223+D224))),IF($B$214&gt;-1,-((D223+D224)-((30-$B$214)/30*(D223+D224))+(30-$B$214)/30*(E223+E224)),0))))),0)</f>
        <v>#REF!</v>
      </c>
      <c r="F237" s="78" t="e">
        <f t="shared" ref="F237:M237" si="49">ROUND(IF($B$214&gt;120,0,IF($B$214&gt;90,-((B223+B224)-((120-$B$214)/30*(B223+B224))+((120-$B$214)/30*(C223+C224))),IF($B$214&gt;60,-((C223+C224)-((90-$B$214)/30*(C223+C224))+((90-$B$214)/30*(D223+D224))),IF($B$214&gt;30,-((D223+D224)-((60-$B$214)/30*(D223+D224))+((60-$B$214)/30*(E223+E224))),IF($B$214&gt;-1,-((E223+E224)-((30-$B$214)/30*(E223+E224))+(30-$B$214)/30*(F223+F224)),0))))),0)</f>
        <v>#REF!</v>
      </c>
      <c r="G237" s="78" t="e">
        <f t="shared" si="49"/>
        <v>#REF!</v>
      </c>
      <c r="H237" s="78" t="e">
        <f t="shared" si="49"/>
        <v>#REF!</v>
      </c>
      <c r="I237" s="78" t="e">
        <f t="shared" si="49"/>
        <v>#REF!</v>
      </c>
      <c r="J237" s="78" t="e">
        <f t="shared" si="49"/>
        <v>#REF!</v>
      </c>
      <c r="K237" s="78" t="e">
        <f t="shared" si="49"/>
        <v>#REF!</v>
      </c>
      <c r="L237" s="78" t="e">
        <f t="shared" si="49"/>
        <v>#REF!</v>
      </c>
      <c r="M237" s="78" t="e">
        <f t="shared" si="49"/>
        <v>#REF!</v>
      </c>
      <c r="O237" s="114"/>
      <c r="P237" s="40"/>
    </row>
    <row r="238" spans="1:16" s="27" customFormat="1" ht="14" customHeight="1">
      <c r="A238" s="77" t="s">
        <v>196</v>
      </c>
      <c r="B238" s="78">
        <f>ROUND(IF($B$215&gt;120,0,IF($B$215&gt;90,0,IF($B$215&gt;60,0,IF($B$215&gt;30,0,IF($B$215&gt;-1,-((30-$B$215)/30*(B225+B226)),0))))),0)</f>
        <v>-35200</v>
      </c>
      <c r="C238" s="78">
        <f>ROUND(IF($B$215&gt;120,0,IF($B$215&gt;90,0,IF($B$215&gt;60,0,IF($B$215&gt;30,-((60-$B$215)/30*(B225+B226)),IF($B$215&gt;-1,-((B225+B226)-((30-$B$215)/30*(B225+B226))+(30-$B$215)/30*(C225+C226)),0))))),0)</f>
        <v>-43200</v>
      </c>
      <c r="D238" s="78">
        <f>ROUND(IF($B$215&gt;120,0,IF($B$215&gt;90,0,IF($B$215&gt;60,-((90-$B$215)/30*(B225+B226)),IF($B$215&gt;30,-((B225+B226)-((60-$B$215)/30*(B225+B226))+((60-$B$215)/30*(C225+C226))),IF($B$215&gt;-1,-((C225+C226)-((30-$B$215)/30*(C225+C226))+(30-$B$215)/30*(D225+D226)),0))))),0)</f>
        <v>-44800</v>
      </c>
      <c r="E238" s="78" t="e">
        <f>ROUND(IF($B$215&gt;120,0,IF($B$215&gt;90,-((120-$B$215)/30*(B225+B226)),IF($B$215&gt;60,-((B225+B226)-((90-$B$215)/30*(B225+B226))+((90-$B$215)/30*(C225+C226))),IF($B$215&gt;30,-((C225+C226)-((60-$B$215)/30*(C225+C226))+((60-$B$215)/30*(D225+D226))),IF($B$215&gt;-1,-((D225+D226)-((30-$B$215)/30*(D225+D226))+(30-$B$215)/30*(E225+E226)),0))))),0)</f>
        <v>#REF!</v>
      </c>
      <c r="F238" s="78" t="e">
        <f>ROUND(IF($B$215&gt;120,0,IF($B$215&gt;90,-((B225+B226)-((120-$B$215)/30*(B225+B226))+((120-$B$215)/30*(C225+C226))),IF($B$215&gt;60,-((C225+C226)-((90-$B$215)/30*(C225+C226))+((90-$B$215)/30*(D225+D226))),IF($B$215&gt;30,-((D225+D226)-((60-$B$215)/30*(D225+D226))+((60-$B$215)/30*(E225+E226))),IF($B$215&gt;-1,-((E225+E226)-((30-$B$215)/30*(E225+E226))+(30-$B$215)/30*(F225+F226)),0))))),0)</f>
        <v>#REF!</v>
      </c>
      <c r="G238" s="78" t="e">
        <f t="shared" ref="G238:M238" si="50">ROUND(IF($B$215&gt;120,0,IF($B$215&gt;90,-((C225+C226)-((120-$B$215)/30*(C225+C226))+((120-$B$215)/30*(D225+D226))),IF($B$215&gt;60,-((D225+D226)-((90-$B$215)/30*(D225+D226))+((90-$B$215)/30*(E225+E226))),IF($B$215&gt;30,-((E225+E226)-((60-$B$215)/30*(E225+E226))+((60-$B$215)/30*(F225+F226))),IF($B$215&gt;-1,-((F225+F226)-((30-$B$215)/30*(F225+F226))+(30-$B$215)/30*(G225+G226)),0))))),0)</f>
        <v>#REF!</v>
      </c>
      <c r="H238" s="78" t="e">
        <f t="shared" si="50"/>
        <v>#REF!</v>
      </c>
      <c r="I238" s="78" t="e">
        <f t="shared" si="50"/>
        <v>#REF!</v>
      </c>
      <c r="J238" s="78" t="e">
        <f t="shared" si="50"/>
        <v>#REF!</v>
      </c>
      <c r="K238" s="78" t="e">
        <f t="shared" si="50"/>
        <v>#REF!</v>
      </c>
      <c r="L238" s="78" t="e">
        <f t="shared" si="50"/>
        <v>#REF!</v>
      </c>
      <c r="M238" s="78" t="e">
        <f t="shared" si="50"/>
        <v>#REF!</v>
      </c>
      <c r="O238" s="114"/>
      <c r="P238" s="40"/>
    </row>
    <row r="239" spans="1:16" s="27" customFormat="1" ht="14" customHeight="1">
      <c r="A239" s="77" t="s">
        <v>197</v>
      </c>
      <c r="B239" s="78">
        <f>ROUND(IF($B216&gt;120,0,IF($B216&gt;90,0,IF($B216&gt;60,0,IF($B216&gt;30,0,IF($B216&gt;-1,-((30-$B216)/30*(B227+B228)),0))))),0)</f>
        <v>-35200</v>
      </c>
      <c r="C239" s="78">
        <f>ROUND(IF($B216&gt;120,0,IF($B216&gt;90,0,IF($B216&gt;60,0,IF($B216&gt;30,-((60-$B216)/30*(B227+B228)),IF($B216&gt;-1,-((B227+B228)-((30-$B216)/30*(B227+B228))+(30-$B216)/30*(C227+C228)),0))))),0)</f>
        <v>-43200</v>
      </c>
      <c r="D239" s="78">
        <f>ROUND(IF($B216&gt;120,0,IF($B216&gt;90,0,IF($B216&gt;60,-((90-$B216)/30*(B227+B228)),IF($B216&gt;30,-((B227+B228)-((60-$B216)/30*(B227+B228))+((60-$B216)/30*(C227+C228))),IF($B216&gt;-1,-((C227+C228)-((30-$B216)/30*(C227+C228))+(30-$B216)/30*(D227+D228)),0))))),0)</f>
        <v>-44800</v>
      </c>
      <c r="E239" s="78" t="e">
        <f>ROUND(IF($B216&gt;120,0,IF($B216&gt;90,-((120-$B216)/30*(B227+B228)),IF($B216&gt;60,-((B227+B228)-((90-$B216)/30*(B227+B228))+((90-$B216)/30*(C227+C228))),IF($B216&gt;30,-((C227+C228)-((60-$B216)/30*(C227+C228))+((60-$B216)/30*(D227+D228))),IF($B216&gt;-1,-((D227+D228)-((30-$B216)/30*(D227+D228))+(30-$B216)/30*(E227+E228)),0))))),0)</f>
        <v>#REF!</v>
      </c>
      <c r="F239" s="78" t="e">
        <f>ROUND(IF($B216&gt;120,0,IF($B216&gt;90,-((B227+B228)-((120-$B216)/30*(B227+B228))+((120-$B216)/30*(C227+C228))),IF($B216&gt;60,-((C227+C228)-((90-$B216)/30*(C227+C228))+((90-$B216)/30*(D227+D228))),IF($B216&gt;30,-((D227+D228)-((60-$B216)/30*(D227+D228))+((60-$B216)/30*(E227+E228))),IF($B216&gt;-1,-((E227+E228)-((30-$B216)/30*(E227+E228))+(30-$B216)/30*(F227+F228)),0))))),0)</f>
        <v>#REF!</v>
      </c>
      <c r="G239" s="78" t="e">
        <f t="shared" ref="G239:M239" si="51">ROUND(IF($B216&gt;120,0,IF($B216&gt;90,-((C227+C228)-((120-$B216)/30*(C227+C228))+((120-$B216)/30*(D227+D228))),IF($B216&gt;60,-((D227+D228)-((90-$B216)/30*(D227+D228))+((90-$B216)/30*(E227+E228))),IF($B216&gt;30,-((E227+E228)-((60-$B216)/30*(E227+E228))+((60-$B216)/30*(F227+F228))),IF($B216&gt;-1,-((F227+F228)-((30-$B216)/30*(F227+F228))+(30-$B216)/30*(G227+G228)),0))))),0)</f>
        <v>#REF!</v>
      </c>
      <c r="H239" s="78" t="e">
        <f t="shared" si="51"/>
        <v>#REF!</v>
      </c>
      <c r="I239" s="78" t="e">
        <f t="shared" si="51"/>
        <v>#REF!</v>
      </c>
      <c r="J239" s="78" t="e">
        <f t="shared" si="51"/>
        <v>#REF!</v>
      </c>
      <c r="K239" s="78" t="e">
        <f t="shared" si="51"/>
        <v>#REF!</v>
      </c>
      <c r="L239" s="78" t="e">
        <f t="shared" si="51"/>
        <v>#REF!</v>
      </c>
      <c r="M239" s="78" t="e">
        <f t="shared" si="51"/>
        <v>#REF!</v>
      </c>
      <c r="O239" s="114"/>
      <c r="P239" s="40"/>
    </row>
    <row r="240" spans="1:16" s="27" customFormat="1" ht="14" customHeight="1">
      <c r="A240" s="77" t="s">
        <v>198</v>
      </c>
      <c r="B240" s="78">
        <f>ROUND(IF($B217&gt;120,0,IF($B217&gt;90,0,IF($B217&gt;60,0,IF($B217&gt;30,0,IF($B217&gt;-1,-((30-$B217)/30*(B229+B230)),0))))),0)</f>
        <v>-31900</v>
      </c>
      <c r="C240" s="78">
        <f>ROUND(IF($B217&gt;120,0,IF($B217&gt;90,0,IF($B217&gt;60,0,IF($B217&gt;30,-((60-$B217)/30*(B229+B230)),IF($B217&gt;-1,-((B229+B230)-((30-$B217)/30*(B229+B230))+(30-$B217)/30*(C229+C230)),0))))),0)</f>
        <v>-39150</v>
      </c>
      <c r="D240" s="78">
        <f>ROUND(IF($B217&gt;120,0,IF($B217&gt;90,0,IF($B217&gt;60,-((90-$B217)/30*(B229+B230)),IF($B217&gt;30,-((B229+B230)-((60-$B217)/30*(B229+B230))+((60-$B217)/30*(C229+C230))),IF($B217&gt;-1,-((C229+C230)-((30-$B217)/30*(C229+C230))+(30-$B217)/30*(D229+D230)),0))))),0)</f>
        <v>-40600</v>
      </c>
      <c r="E240" s="78" t="e">
        <f>ROUND(IF($B217&gt;120,0,IF($B217&gt;90,-((120-$B217)/30*(B229+B230)),IF($B217&gt;60,-((B229+B230)-((90-$B217)/30*(B229+B230))+((90-$B217)/30*(C229+C230))),IF($B217&gt;30,-((C229+C230)-((60-$B217)/30*(C229+C230))+((60-$B217)/30*(D229+D230))),IF($B217&gt;-1,-((D229+D230)-((30-$B217)/30*(D229+D230))+(30-$B217)/30*(E229+E230)),0))))),0)</f>
        <v>#REF!</v>
      </c>
      <c r="F240" s="78" t="e">
        <f>ROUND(IF($B217&gt;120,0,IF($B217&gt;90,-((B229+B230)-((120-$B217)/30*(B229+B230))+((120-$B217)/30*(C229+C230))),IF($B217&gt;60,-((C229+C230)-((90-$B217)/30*(C229+C230))+((90-$B217)/30*(D229+D230))),IF($B217&gt;30,-((D229+D230)-((60-$B217)/30*(D229+D230))+((60-$B217)/30*(E229+E230))),IF($B217&gt;-1,-((E229+E230)-((30-$B217)/30*(E229+E230))+(30-$B217)/30*(F229+F230)),0))))),0)</f>
        <v>#REF!</v>
      </c>
      <c r="G240" s="78" t="e">
        <f t="shared" ref="G240:M240" si="52">ROUND(IF($B217&gt;120,0,IF($B217&gt;90,-((C229+C230)-((120-$B217)/30*(C229+C230))+((120-$B217)/30*(D229+D230))),IF($B217&gt;60,-((D229+D230)-((90-$B217)/30*(D229+D230))+((90-$B217)/30*(E229+E230))),IF($B217&gt;30,-((E229+E230)-((60-$B217)/30*(E229+E230))+((60-$B217)/30*(F229+F230))),IF($B217&gt;-1,-((F229+F230)-((30-$B217)/30*(F229+F230))+(30-$B217)/30*(G229+G230)),0))))),0)</f>
        <v>#REF!</v>
      </c>
      <c r="H240" s="78" t="e">
        <f t="shared" si="52"/>
        <v>#REF!</v>
      </c>
      <c r="I240" s="78" t="e">
        <f t="shared" si="52"/>
        <v>#REF!</v>
      </c>
      <c r="J240" s="78" t="e">
        <f t="shared" si="52"/>
        <v>#REF!</v>
      </c>
      <c r="K240" s="78" t="e">
        <f t="shared" si="52"/>
        <v>#REF!</v>
      </c>
      <c r="L240" s="78" t="e">
        <f t="shared" si="52"/>
        <v>#REF!</v>
      </c>
      <c r="M240" s="78" t="e">
        <f t="shared" si="52"/>
        <v>#REF!</v>
      </c>
      <c r="O240" s="114"/>
      <c r="P240" s="40"/>
    </row>
    <row r="241" spans="1:16" s="27" customFormat="1" ht="14" customHeight="1">
      <c r="A241" s="77" t="s">
        <v>199</v>
      </c>
      <c r="B241" s="78">
        <f>ROUND(IF($B218&gt;120,0,IF($B218&gt;90,0,IF($B218&gt;60,0,IF($B218&gt;30,0,IF($B218&gt;-1,-((30-$B218)/30*(B231+B232)),0))))),0)</f>
        <v>-27500</v>
      </c>
      <c r="C241" s="78">
        <f>ROUND(IF($B218&gt;120,0,IF($B218&gt;90,0,IF($B218&gt;60,0,IF($B218&gt;30,-((60-$B218)/30*(B231+B232)),IF($B218&gt;-1,-((B231+B232)-((30-$B218)/30*(B231+B232))+(30-$B218)/30*(C231+C232)),0))))),0)</f>
        <v>-35100</v>
      </c>
      <c r="D241" s="78">
        <f>ROUND(IF($B218&gt;120,0,IF($B218&gt;90,0,IF($B218&gt;60,-((90-$B218)/30*(B231+B232)),IF($B218&gt;30,-((B231+B232)-((60-$B218)/30*(B231+B232))+((60-$B218)/30*(C231+C232))),IF($B218&gt;-1,-((C231+C232)-((30-$B218)/30*(C231+C232))+(30-$B218)/30*(D231+D232)),0))))),0)</f>
        <v>-37800</v>
      </c>
      <c r="E241" s="78" t="e">
        <f>ROUND(IF($B218&gt;120,0,IF($B218&gt;90,-((120-$B218)/30*(B231+B232)),IF($B218&gt;60,-((B231+B232)-((90-$B218)/30*(B231+B232))+((90-$B218)/30*(C231+C232))),IF($B218&gt;30,-((C231+C232)-((60-$B218)/30*(C231+C232))+((60-$B218)/30*(D231+D232))),IF($B218&gt;-1,-((D231+D232)-((30-$B218)/30*(D231+D232))+(30-$B218)/30*(E231+E232)),0))))),0)</f>
        <v>#REF!</v>
      </c>
      <c r="F241" s="78" t="e">
        <f>ROUND(IF($B218&gt;120,0,IF($B218&gt;90,-((B231+B232)-((120-$B218)/30*(B231+B232))+((120-$B218)/30*(C231+C232))),IF($B218&gt;60,-((C231+C232)-((90-$B218)/30*(C231+C232))+((90-$B218)/30*(D231+D232))),IF($B218&gt;30,-((D231+D232)-((60-$B218)/30*(D231+D232))+((60-$B218)/30*(E231+E232))),IF($B218&gt;-1,-((E231+E232)-((30-$B218)/30*(E231+E232))+(30-$B218)/30*(F231+F232)),0))))),0)</f>
        <v>#REF!</v>
      </c>
      <c r="G241" s="78" t="e">
        <f t="shared" ref="G241:M241" si="53">ROUND(IF($B218&gt;120,0,IF($B218&gt;90,-((C231+C232)-((120-$B218)/30*(C231+C232))+((120-$B218)/30*(D231+D232))),IF($B218&gt;60,-((D231+D232)-((90-$B218)/30*(D231+D232))+((90-$B218)/30*(E231+E232))),IF($B218&gt;30,-((E231+E232)-((60-$B218)/30*(E231+E232))+((60-$B218)/30*(F231+F232))),IF($B218&gt;-1,-((F231+F232)-((30-$B218)/30*(F231+F232))+(30-$B218)/30*(G231+G232)),0))))),0)</f>
        <v>#REF!</v>
      </c>
      <c r="H241" s="78" t="e">
        <f t="shared" si="53"/>
        <v>#REF!</v>
      </c>
      <c r="I241" s="78" t="e">
        <f t="shared" si="53"/>
        <v>#REF!</v>
      </c>
      <c r="J241" s="78" t="e">
        <f t="shared" si="53"/>
        <v>#REF!</v>
      </c>
      <c r="K241" s="78" t="e">
        <f t="shared" si="53"/>
        <v>#REF!</v>
      </c>
      <c r="L241" s="78" t="e">
        <f t="shared" si="53"/>
        <v>#REF!</v>
      </c>
      <c r="M241" s="78" t="e">
        <f t="shared" si="53"/>
        <v>#REF!</v>
      </c>
      <c r="O241" s="114"/>
      <c r="P241" s="40"/>
    </row>
    <row r="242" spans="1:16" s="27" customFormat="1" ht="14" customHeight="1">
      <c r="A242" s="77" t="s">
        <v>200</v>
      </c>
      <c r="B242" s="78">
        <f>ROUND(IF($B219&gt;120,0,IF($B219&gt;90,0,IF($B219&gt;60,0,IF($B219&gt;30,0,IF($B219&gt;-1,-((30-$B219)/30*(B233+B234)),0))))),0)</f>
        <v>-37400</v>
      </c>
      <c r="C242" s="78">
        <f>ROUND(IF($B219&gt;120,0,IF($B219&gt;90,0,IF($B219&gt;60,0,IF($B219&gt;30,-((60-$B219)/30*(B233+B234)),IF($B219&gt;-1,-((B233+B234)-((30-$B219)/30*(B233+B234))+(30-$B219)/30*(C233+C234)),0))))),0)</f>
        <v>-45900</v>
      </c>
      <c r="D242" s="78">
        <f>ROUND(IF($B219&gt;120,0,IF($B219&gt;90,0,IF($B219&gt;60,-((90-$B219)/30*(B233+B234)),IF($B219&gt;30,-((B233+B234)-((60-$B219)/30*(B233+B234))+((60-$B219)/30*(C233+C234))),IF($B219&gt;-1,-((C233+C234)-((30-$B219)/30*(C233+C234))+(30-$B219)/30*(D233+D234)),0))))),0)</f>
        <v>-47250</v>
      </c>
      <c r="E242" s="78" t="e">
        <f>ROUND(IF($B219&gt;120,0,IF($B219&gt;90,-((120-$B219)/30*(B233+B234)),IF($B219&gt;60,-((B233+B234)-((90-$B219)/30*(B233+B234))+((90-$B219)/30*(C233+C234))),IF($B219&gt;30,-((C233+C234)-((60-$B219)/30*(C233+C234))+((60-$B219)/30*(D233+D234))),IF($B219&gt;-1,-((D233+D234)-((30-$B219)/30*(D233+D234))+(30-$B219)/30*(E233+E234)),0))))),0)</f>
        <v>#REF!</v>
      </c>
      <c r="F242" s="78" t="e">
        <f>ROUND(IF($B219&gt;120,0,IF($B219&gt;90,-((B233+B234)-((120-$B219)/30*(B233+B234))+((120-$B219)/30*(C233+C234))),IF($B219&gt;60,-((C233+C234)-((90-$B219)/30*(C233+C234))+((90-$B219)/30*(D233+D234))),IF($B219&gt;30,-((D233+D234)-((60-$B219)/30*(D233+D234))+((60-$B219)/30*(E233+E234))),IF($B219&gt;-1,-((E233+E234)-((30-$B219)/30*(E233+E234))+(30-$B219)/30*(F233+F234)),0))))),0)</f>
        <v>#REF!</v>
      </c>
      <c r="G242" s="78" t="e">
        <f t="shared" ref="G242:M242" si="54">ROUND(IF($B219&gt;120,0,IF($B219&gt;90,-((C233+C234)-((120-$B219)/30*(C233+C234))+((120-$B219)/30*(D233+D234))),IF($B219&gt;60,-((D233+D234)-((90-$B219)/30*(D233+D234))+((90-$B219)/30*(E233+E234))),IF($B219&gt;30,-((E233+E234)-((60-$B219)/30*(E233+E234))+((60-$B219)/30*(F233+F234))),IF($B219&gt;-1,-((F233+F234)-((30-$B219)/30*(F233+F234))+(30-$B219)/30*(G233+G234)),0))))),0)</f>
        <v>#REF!</v>
      </c>
      <c r="H242" s="78" t="e">
        <f t="shared" si="54"/>
        <v>#REF!</v>
      </c>
      <c r="I242" s="78" t="e">
        <f t="shared" si="54"/>
        <v>#REF!</v>
      </c>
      <c r="J242" s="78" t="e">
        <f t="shared" si="54"/>
        <v>#REF!</v>
      </c>
      <c r="K242" s="78" t="e">
        <f t="shared" si="54"/>
        <v>#REF!</v>
      </c>
      <c r="L242" s="78" t="e">
        <f t="shared" si="54"/>
        <v>#REF!</v>
      </c>
      <c r="M242" s="78" t="e">
        <f t="shared" si="54"/>
        <v>#REF!</v>
      </c>
      <c r="O242" s="114"/>
      <c r="P242" s="40"/>
    </row>
    <row r="243" spans="1:16" s="27" customFormat="1" ht="21" customHeight="1">
      <c r="A243" s="28" t="s">
        <v>116</v>
      </c>
      <c r="B243" s="28">
        <f>ROUND(SUM(B235:B242),0)</f>
        <v>0</v>
      </c>
      <c r="C243" s="28">
        <f t="shared" ref="C243:M243" si="55">ROUND(SUM(C235:C242),0)</f>
        <v>0</v>
      </c>
      <c r="D243" s="28">
        <f t="shared" si="55"/>
        <v>0</v>
      </c>
      <c r="E243" s="28" t="e">
        <f t="shared" si="55"/>
        <v>#REF!</v>
      </c>
      <c r="F243" s="28" t="e">
        <f t="shared" si="55"/>
        <v>#REF!</v>
      </c>
      <c r="G243" s="28" t="e">
        <f t="shared" si="55"/>
        <v>#REF!</v>
      </c>
      <c r="H243" s="28" t="e">
        <f t="shared" si="55"/>
        <v>#REF!</v>
      </c>
      <c r="I243" s="28" t="e">
        <f t="shared" si="55"/>
        <v>#REF!</v>
      </c>
      <c r="J243" s="28" t="e">
        <f t="shared" si="55"/>
        <v>#REF!</v>
      </c>
      <c r="K243" s="28" t="e">
        <f t="shared" si="55"/>
        <v>#REF!</v>
      </c>
      <c r="L243" s="28" t="e">
        <f t="shared" si="55"/>
        <v>#REF!</v>
      </c>
      <c r="M243" s="28" t="e">
        <f t="shared" si="55"/>
        <v>#REF!</v>
      </c>
      <c r="N243" s="28"/>
      <c r="O243" s="114"/>
      <c r="P243" s="40"/>
    </row>
    <row r="244" spans="1:16" s="27" customFormat="1" ht="14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114"/>
      <c r="P244" s="40"/>
    </row>
    <row r="245" spans="1:16" s="27" customFormat="1" ht="14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114"/>
      <c r="P245" s="40"/>
    </row>
    <row r="246" spans="1:16" s="27" customFormat="1" ht="14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114"/>
      <c r="P246" s="40"/>
    </row>
    <row r="247" spans="1:16">
      <c r="A247" s="41" t="s">
        <v>114</v>
      </c>
    </row>
    <row r="248" spans="1:16">
      <c r="A248" s="41"/>
    </row>
    <row r="249" spans="1:16">
      <c r="A249" s="44" t="s">
        <v>113</v>
      </c>
      <c r="B249" s="72" t="str">
        <f>IF(B250&gt;120,"FOR MANGE KREDITDAGE!!",IF(B250&lt;0,"FOR FÅ KREDITDAGE!!",""))</f>
        <v/>
      </c>
    </row>
    <row r="250" spans="1:16">
      <c r="A250" s="73" t="str">
        <f>+Budget!A20</f>
        <v>Varekøb, hestesko DK</v>
      </c>
      <c r="B250" s="69">
        <v>0</v>
      </c>
      <c r="C250" s="39" t="s">
        <v>111</v>
      </c>
      <c r="E250" s="74" t="str">
        <f>IF(-SUM(B271:M271)=B257,"","FEJL VED AFVILKING AF KREDITORER PRIMO!!")</f>
        <v/>
      </c>
    </row>
    <row r="251" spans="1:16">
      <c r="A251" s="73" t="str">
        <f>+Budget!A21</f>
        <v>Varekøb, ambolte DK</v>
      </c>
      <c r="B251" s="69">
        <v>0</v>
      </c>
      <c r="C251" s="39" t="s">
        <v>111</v>
      </c>
    </row>
    <row r="252" spans="1:16">
      <c r="A252" s="73" t="str">
        <f>+Budget!A22</f>
        <v>Varekøb, hestesko EU</v>
      </c>
      <c r="B252" s="69">
        <v>0</v>
      </c>
      <c r="C252" s="39" t="s">
        <v>111</v>
      </c>
    </row>
    <row r="253" spans="1:16">
      <c r="A253" s="73" t="str">
        <f>+Budget!A23</f>
        <v>Varekøb, ambolte EU</v>
      </c>
      <c r="B253" s="69">
        <v>0</v>
      </c>
      <c r="C253" s="39" t="s">
        <v>111</v>
      </c>
    </row>
    <row r="254" spans="1:16">
      <c r="A254" s="73" t="str">
        <f>+Budget!A24</f>
        <v>Varekøb, hestesko udenfor EU</v>
      </c>
      <c r="B254" s="69">
        <v>0</v>
      </c>
      <c r="C254" s="39" t="s">
        <v>111</v>
      </c>
    </row>
    <row r="255" spans="1:16">
      <c r="A255" s="73" t="str">
        <f>+Budget!A25</f>
        <v>Varekøb, ambolte udenfor EU</v>
      </c>
      <c r="B255" s="69">
        <v>0</v>
      </c>
      <c r="C255" s="39" t="s">
        <v>111</v>
      </c>
    </row>
    <row r="256" spans="1:16">
      <c r="A256" s="41"/>
      <c r="B256" s="72" t="str">
        <f>IF(B251&gt;120,"FOR MANGE KREDITDAGE!!",IF(B251&lt;0,"FOR FÅ KREDITDAGE!!",""))</f>
        <v/>
      </c>
    </row>
    <row r="257" spans="1:16" s="27" customFormat="1" ht="14" customHeight="1">
      <c r="A257" s="27" t="s">
        <v>115</v>
      </c>
      <c r="B257" s="27">
        <f>+Balance!C58</f>
        <v>0</v>
      </c>
      <c r="C257" s="27">
        <f t="shared" ref="C257:M257" si="56">B278</f>
        <v>0</v>
      </c>
      <c r="D257" s="27">
        <f t="shared" si="56"/>
        <v>0</v>
      </c>
      <c r="E257" s="27">
        <f t="shared" si="56"/>
        <v>0</v>
      </c>
      <c r="F257" s="27" t="e">
        <f t="shared" si="56"/>
        <v>#REF!</v>
      </c>
      <c r="G257" s="27" t="e">
        <f t="shared" si="56"/>
        <v>#REF!</v>
      </c>
      <c r="H257" s="27" t="e">
        <f t="shared" si="56"/>
        <v>#REF!</v>
      </c>
      <c r="I257" s="27" t="e">
        <f t="shared" si="56"/>
        <v>#REF!</v>
      </c>
      <c r="J257" s="27" t="e">
        <f t="shared" si="56"/>
        <v>#REF!</v>
      </c>
      <c r="K257" s="27" t="e">
        <f t="shared" si="56"/>
        <v>#REF!</v>
      </c>
      <c r="L257" s="27" t="e">
        <f t="shared" si="56"/>
        <v>#REF!</v>
      </c>
      <c r="M257" s="27" t="e">
        <f t="shared" si="56"/>
        <v>#REF!</v>
      </c>
      <c r="O257" s="114"/>
      <c r="P257" s="40"/>
    </row>
    <row r="258" spans="1:16" s="27" customFormat="1" ht="14" customHeight="1">
      <c r="A258" s="27" t="str">
        <f>+Budget!A20</f>
        <v>Varekøb, hestesko DK</v>
      </c>
      <c r="B258" s="27">
        <f>+Budget!C20</f>
        <v>0</v>
      </c>
      <c r="C258" s="27">
        <f>+Budget!E20</f>
        <v>0</v>
      </c>
      <c r="D258" s="27">
        <f>+Budget!G20</f>
        <v>0</v>
      </c>
      <c r="E258" s="27" t="e">
        <f>+Budget!#REF!</f>
        <v>#REF!</v>
      </c>
      <c r="F258" s="27" t="e">
        <f>+Budget!#REF!</f>
        <v>#REF!</v>
      </c>
      <c r="G258" s="27" t="e">
        <f>+Budget!#REF!</f>
        <v>#REF!</v>
      </c>
      <c r="H258" s="27" t="e">
        <f>+Budget!#REF!</f>
        <v>#REF!</v>
      </c>
      <c r="I258" s="27" t="e">
        <f>+Budget!#REF!</f>
        <v>#REF!</v>
      </c>
      <c r="J258" s="27" t="e">
        <f>+Budget!#REF!</f>
        <v>#REF!</v>
      </c>
      <c r="K258" s="27" t="e">
        <f>+Budget!#REF!</f>
        <v>#REF!</v>
      </c>
      <c r="L258" s="27" t="e">
        <f>+Budget!#REF!</f>
        <v>#REF!</v>
      </c>
      <c r="M258" s="27" t="e">
        <f>+Budget!#REF!</f>
        <v>#REF!</v>
      </c>
      <c r="O258" s="114"/>
      <c r="P258" s="40"/>
    </row>
    <row r="259" spans="1:16" s="27" customFormat="1" ht="14" customHeight="1">
      <c r="A259" s="27" t="s">
        <v>30</v>
      </c>
      <c r="B259" s="27">
        <f>ROUND(IF(Budget!$N$20="K",B258*$B$192,0),0)</f>
        <v>0</v>
      </c>
      <c r="C259" s="27">
        <f>ROUND(IF(Budget!$N$20="K",C258*$B$192,0),0)</f>
        <v>0</v>
      </c>
      <c r="D259" s="27">
        <f>ROUND(IF(Budget!$N$20="K",D258*$B$192,0),0)</f>
        <v>0</v>
      </c>
      <c r="E259" s="27">
        <f>ROUND(IF(Budget!$N$20="K",E258*$B$192,0),0)</f>
        <v>0</v>
      </c>
      <c r="F259" s="27">
        <f>ROUND(IF(Budget!$N$20="K",F258*$B$192,0),0)</f>
        <v>0</v>
      </c>
      <c r="G259" s="27">
        <f>ROUND(IF(Budget!$N$20="K",G258*$B$192,0),0)</f>
        <v>0</v>
      </c>
      <c r="H259" s="27">
        <f>ROUND(IF(Budget!$N$20="K",H258*$B$192,0),0)</f>
        <v>0</v>
      </c>
      <c r="I259" s="27">
        <f>ROUND(IF(Budget!$N$20="K",I258*$B$192,0),0)</f>
        <v>0</v>
      </c>
      <c r="J259" s="27">
        <f>ROUND(IF(Budget!$N$20="K",J258*$B$192,0),0)</f>
        <v>0</v>
      </c>
      <c r="K259" s="27">
        <f>ROUND(IF(Budget!$N$20="K",K258*$B$192,0),0)</f>
        <v>0</v>
      </c>
      <c r="L259" s="27">
        <f>ROUND(IF(Budget!$N$20="K",L258*$B$192,0),0)</f>
        <v>0</v>
      </c>
      <c r="M259" s="27">
        <f>ROUND(IF(Budget!$N$20="K",M258*$B$192,0),0)</f>
        <v>0</v>
      </c>
      <c r="O259" s="114"/>
      <c r="P259" s="40"/>
    </row>
    <row r="260" spans="1:16" s="27" customFormat="1" ht="14" customHeight="1">
      <c r="A260" s="27" t="str">
        <f>+Budget!A21</f>
        <v>Varekøb, ambolte DK</v>
      </c>
      <c r="B260" s="27">
        <f>+Budget!C21</f>
        <v>0</v>
      </c>
      <c r="C260" s="27">
        <f>+Budget!E21</f>
        <v>0</v>
      </c>
      <c r="D260" s="27">
        <f>+Budget!G21</f>
        <v>0</v>
      </c>
      <c r="E260" s="27" t="e">
        <f>+Budget!#REF!</f>
        <v>#REF!</v>
      </c>
      <c r="F260" s="27" t="e">
        <f>+Budget!#REF!</f>
        <v>#REF!</v>
      </c>
      <c r="G260" s="27" t="e">
        <f>+Budget!#REF!</f>
        <v>#REF!</v>
      </c>
      <c r="H260" s="27" t="e">
        <f>+Budget!#REF!</f>
        <v>#REF!</v>
      </c>
      <c r="I260" s="27" t="e">
        <f>+Budget!#REF!</f>
        <v>#REF!</v>
      </c>
      <c r="J260" s="27" t="e">
        <f>+Budget!#REF!</f>
        <v>#REF!</v>
      </c>
      <c r="K260" s="27" t="e">
        <f>+Budget!#REF!</f>
        <v>#REF!</v>
      </c>
      <c r="L260" s="27" t="e">
        <f>+Budget!#REF!</f>
        <v>#REF!</v>
      </c>
      <c r="M260" s="27" t="e">
        <f>+Budget!#REF!</f>
        <v>#REF!</v>
      </c>
      <c r="O260" s="114"/>
      <c r="P260" s="40"/>
    </row>
    <row r="261" spans="1:16" s="27" customFormat="1" ht="14" customHeight="1">
      <c r="A261" s="27" t="s">
        <v>30</v>
      </c>
      <c r="B261" s="27">
        <f>ROUND(IF(Budget!$N$21="K",B260*$B$192,0),0)</f>
        <v>0</v>
      </c>
      <c r="C261" s="27">
        <f>ROUND(IF(Budget!$N$21="K",C260*$B$192,0),0)</f>
        <v>0</v>
      </c>
      <c r="D261" s="27">
        <f>ROUND(IF(Budget!$N$21="K",D260*$B$192,0),0)</f>
        <v>0</v>
      </c>
      <c r="E261" s="27">
        <f>ROUND(IF(Budget!$N$21="K",E260*$B$192,0),0)</f>
        <v>0</v>
      </c>
      <c r="F261" s="27">
        <f>ROUND(IF(Budget!$N$21="K",F260*$B$192,0),0)</f>
        <v>0</v>
      </c>
      <c r="G261" s="27">
        <f>ROUND(IF(Budget!$N$21="K",G260*$B$192,0),0)</f>
        <v>0</v>
      </c>
      <c r="H261" s="27">
        <f>ROUND(IF(Budget!$N$21="K",H260*$B$192,0),0)</f>
        <v>0</v>
      </c>
      <c r="I261" s="27">
        <f>ROUND(IF(Budget!$N$21="K",I260*$B$192,0),0)</f>
        <v>0</v>
      </c>
      <c r="J261" s="27">
        <f>ROUND(IF(Budget!$N$21="K",J260*$B$192,0),0)</f>
        <v>0</v>
      </c>
      <c r="K261" s="27">
        <f>ROUND(IF(Budget!$N$21="K",K260*$B$192,0),0)</f>
        <v>0</v>
      </c>
      <c r="L261" s="27">
        <f>ROUND(IF(Budget!$N$21="K",L260*$B$192,0),0)</f>
        <v>0</v>
      </c>
      <c r="M261" s="27">
        <f>ROUND(IF(Budget!$N$21="K",M260*$B$192,0),0)</f>
        <v>0</v>
      </c>
      <c r="O261" s="114"/>
      <c r="P261" s="40"/>
    </row>
    <row r="262" spans="1:16" s="27" customFormat="1" ht="14" customHeight="1">
      <c r="A262" s="27" t="str">
        <f>+Budget!A22</f>
        <v>Varekøb, hestesko EU</v>
      </c>
      <c r="B262" s="27">
        <f>+Budget!C22</f>
        <v>0</v>
      </c>
      <c r="C262" s="27">
        <f>+Budget!E22</f>
        <v>0</v>
      </c>
      <c r="D262" s="27">
        <f>+Budget!G22</f>
        <v>0</v>
      </c>
      <c r="E262" s="27" t="e">
        <f>+Budget!#REF!</f>
        <v>#REF!</v>
      </c>
      <c r="F262" s="27" t="e">
        <f>+Budget!#REF!</f>
        <v>#REF!</v>
      </c>
      <c r="G262" s="27" t="e">
        <f>+Budget!#REF!</f>
        <v>#REF!</v>
      </c>
      <c r="H262" s="27" t="e">
        <f>+Budget!#REF!</f>
        <v>#REF!</v>
      </c>
      <c r="I262" s="27" t="e">
        <f>+Budget!#REF!</f>
        <v>#REF!</v>
      </c>
      <c r="J262" s="27" t="e">
        <f>+Budget!#REF!</f>
        <v>#REF!</v>
      </c>
      <c r="K262" s="27" t="e">
        <f>+Budget!#REF!</f>
        <v>#REF!</v>
      </c>
      <c r="L262" s="27" t="e">
        <f>+Budget!#REF!</f>
        <v>#REF!</v>
      </c>
      <c r="M262" s="27" t="e">
        <f>+Budget!#REF!</f>
        <v>#REF!</v>
      </c>
      <c r="O262" s="114"/>
      <c r="P262" s="40"/>
    </row>
    <row r="263" spans="1:16" s="27" customFormat="1" ht="14" customHeight="1">
      <c r="A263" s="27" t="s">
        <v>30</v>
      </c>
      <c r="B263" s="27">
        <f>ROUND(IF(Budget!$N$22="K",B262*$B$192,0),0)</f>
        <v>0</v>
      </c>
      <c r="C263" s="27">
        <f>ROUND(IF(Budget!$N$22="K",C262*$B$192,0),0)</f>
        <v>0</v>
      </c>
      <c r="D263" s="27">
        <f>ROUND(IF(Budget!$N$22="K",D262*$B$192,0),0)</f>
        <v>0</v>
      </c>
      <c r="E263" s="27">
        <f>ROUND(IF(Budget!$N$22="K",E262*$B$192,0),0)</f>
        <v>0</v>
      </c>
      <c r="F263" s="27">
        <f>ROUND(IF(Budget!$N$22="K",F262*$B$192,0),0)</f>
        <v>0</v>
      </c>
      <c r="G263" s="27">
        <f>ROUND(IF(Budget!$N$22="K",G262*$B$192,0),0)</f>
        <v>0</v>
      </c>
      <c r="H263" s="27">
        <f>ROUND(IF(Budget!$N$22="K",H262*$B$192,0),0)</f>
        <v>0</v>
      </c>
      <c r="I263" s="27">
        <f>ROUND(IF(Budget!$N$22="K",I262*$B$192,0),0)</f>
        <v>0</v>
      </c>
      <c r="J263" s="27">
        <f>ROUND(IF(Budget!$N$22="K",J262*$B$192,0),0)</f>
        <v>0</v>
      </c>
      <c r="K263" s="27">
        <f>ROUND(IF(Budget!$N$22="K",K262*$B$192,0),0)</f>
        <v>0</v>
      </c>
      <c r="L263" s="27">
        <f>ROUND(IF(Budget!$N$22="K",L262*$B$192,0),0)</f>
        <v>0</v>
      </c>
      <c r="M263" s="27">
        <f>ROUND(IF(Budget!$N$22="K",M262*$B$192,0),0)</f>
        <v>0</v>
      </c>
      <c r="O263" s="114"/>
      <c r="P263" s="40"/>
    </row>
    <row r="264" spans="1:16" s="27" customFormat="1" ht="14" customHeight="1">
      <c r="A264" s="27" t="str">
        <f>+Budget!A23</f>
        <v>Varekøb, ambolte EU</v>
      </c>
      <c r="B264" s="27">
        <f>+Budget!C23</f>
        <v>0</v>
      </c>
      <c r="C264" s="27">
        <f>+Budget!E23</f>
        <v>0</v>
      </c>
      <c r="D264" s="27">
        <f>+Budget!G23</f>
        <v>0</v>
      </c>
      <c r="E264" s="27" t="e">
        <f>+Budget!#REF!</f>
        <v>#REF!</v>
      </c>
      <c r="F264" s="27" t="e">
        <f>+Budget!#REF!</f>
        <v>#REF!</v>
      </c>
      <c r="G264" s="27" t="e">
        <f>+Budget!#REF!</f>
        <v>#REF!</v>
      </c>
      <c r="H264" s="27" t="e">
        <f>+Budget!#REF!</f>
        <v>#REF!</v>
      </c>
      <c r="I264" s="27" t="e">
        <f>+Budget!#REF!</f>
        <v>#REF!</v>
      </c>
      <c r="J264" s="27" t="e">
        <f>+Budget!#REF!</f>
        <v>#REF!</v>
      </c>
      <c r="K264" s="27" t="e">
        <f>+Budget!#REF!</f>
        <v>#REF!</v>
      </c>
      <c r="L264" s="27" t="e">
        <f>+Budget!#REF!</f>
        <v>#REF!</v>
      </c>
      <c r="M264" s="27" t="e">
        <f>+Budget!#REF!</f>
        <v>#REF!</v>
      </c>
      <c r="O264" s="114"/>
      <c r="P264" s="40"/>
    </row>
    <row r="265" spans="1:16" s="27" customFormat="1" ht="14" customHeight="1">
      <c r="A265" s="27" t="s">
        <v>30</v>
      </c>
      <c r="B265" s="27">
        <f>ROUND(IF(Budget!$N$23="K",B264*$B$192,0),0)</f>
        <v>0</v>
      </c>
      <c r="C265" s="27">
        <f>ROUND(IF(Budget!$N$23="K",C264*$B$192,0),0)</f>
        <v>0</v>
      </c>
      <c r="D265" s="27">
        <f>ROUND(IF(Budget!$N$23="K",D264*$B$192,0),0)</f>
        <v>0</v>
      </c>
      <c r="E265" s="27">
        <f>ROUND(IF(Budget!$N$23="K",E264*$B$192,0),0)</f>
        <v>0</v>
      </c>
      <c r="F265" s="27">
        <f>ROUND(IF(Budget!$N$23="K",F264*$B$192,0),0)</f>
        <v>0</v>
      </c>
      <c r="G265" s="27">
        <f>ROUND(IF(Budget!$N$23="K",G264*$B$192,0),0)</f>
        <v>0</v>
      </c>
      <c r="H265" s="27">
        <f>ROUND(IF(Budget!$N$23="K",H264*$B$192,0),0)</f>
        <v>0</v>
      </c>
      <c r="I265" s="27">
        <f>ROUND(IF(Budget!$N$23="K",I264*$B$192,0),0)</f>
        <v>0</v>
      </c>
      <c r="J265" s="27">
        <f>ROUND(IF(Budget!$N$23="K",J264*$B$192,0),0)</f>
        <v>0</v>
      </c>
      <c r="K265" s="27">
        <f>ROUND(IF(Budget!$N$23="K",K264*$B$192,0),0)</f>
        <v>0</v>
      </c>
      <c r="L265" s="27">
        <f>ROUND(IF(Budget!$N$23="K",L264*$B$192,0),0)</f>
        <v>0</v>
      </c>
      <c r="M265" s="27">
        <f>ROUND(IF(Budget!$N$23="K",M264*$B$192,0),0)</f>
        <v>0</v>
      </c>
      <c r="O265" s="114"/>
      <c r="P265" s="40"/>
    </row>
    <row r="266" spans="1:16" s="27" customFormat="1" ht="14" customHeight="1">
      <c r="A266" s="27" t="str">
        <f>+Budget!A24</f>
        <v>Varekøb, hestesko udenfor EU</v>
      </c>
      <c r="B266" s="27">
        <f>+Budget!C24</f>
        <v>0</v>
      </c>
      <c r="C266" s="27">
        <f>+Budget!E24</f>
        <v>0</v>
      </c>
      <c r="D266" s="27">
        <f>+Budget!G24</f>
        <v>0</v>
      </c>
      <c r="E266" s="27" t="e">
        <f>+Budget!#REF!</f>
        <v>#REF!</v>
      </c>
      <c r="F266" s="27" t="e">
        <f>+Budget!#REF!</f>
        <v>#REF!</v>
      </c>
      <c r="G266" s="27" t="e">
        <f>+Budget!#REF!</f>
        <v>#REF!</v>
      </c>
      <c r="H266" s="27" t="e">
        <f>+Budget!#REF!</f>
        <v>#REF!</v>
      </c>
      <c r="I266" s="27" t="e">
        <f>+Budget!#REF!</f>
        <v>#REF!</v>
      </c>
      <c r="J266" s="27" t="e">
        <f>+Budget!#REF!</f>
        <v>#REF!</v>
      </c>
      <c r="K266" s="27" t="e">
        <f>+Budget!#REF!</f>
        <v>#REF!</v>
      </c>
      <c r="L266" s="27" t="e">
        <f>+Budget!#REF!</f>
        <v>#REF!</v>
      </c>
      <c r="M266" s="27" t="e">
        <f>+Budget!#REF!</f>
        <v>#REF!</v>
      </c>
      <c r="O266" s="114"/>
      <c r="P266" s="40"/>
    </row>
    <row r="267" spans="1:16" s="27" customFormat="1" ht="14" customHeight="1">
      <c r="A267" s="27" t="s">
        <v>30</v>
      </c>
      <c r="B267" s="27">
        <f>ROUND(IF(Budget!$N$24="K",B266*$B$192,0),0)</f>
        <v>0</v>
      </c>
      <c r="C267" s="27">
        <f>ROUND(IF(Budget!$N$24="K",C266*$B$192,0),0)</f>
        <v>0</v>
      </c>
      <c r="D267" s="27">
        <f>ROUND(IF(Budget!$N$24="K",D266*$B$192,0),0)</f>
        <v>0</v>
      </c>
      <c r="E267" s="27">
        <f>ROUND(IF(Budget!$N$24="K",E266*$B$192,0),0)</f>
        <v>0</v>
      </c>
      <c r="F267" s="27">
        <f>ROUND(IF(Budget!$N$24="K",F266*$B$192,0),0)</f>
        <v>0</v>
      </c>
      <c r="G267" s="27">
        <f>ROUND(IF(Budget!$N$24="K",G266*$B$192,0),0)</f>
        <v>0</v>
      </c>
      <c r="H267" s="27">
        <f>ROUND(IF(Budget!$N$24="K",H266*$B$192,0),0)</f>
        <v>0</v>
      </c>
      <c r="I267" s="27">
        <f>ROUND(IF(Budget!$N$24="K",I266*$B$192,0),0)</f>
        <v>0</v>
      </c>
      <c r="J267" s="27">
        <f>ROUND(IF(Budget!$N$24="K",J266*$B$192,0),0)</f>
        <v>0</v>
      </c>
      <c r="K267" s="27">
        <f>ROUND(IF(Budget!$N$24="K",K266*$B$192,0),0)</f>
        <v>0</v>
      </c>
      <c r="L267" s="27">
        <f>ROUND(IF(Budget!$N$24="K",L266*$B$192,0),0)</f>
        <v>0</v>
      </c>
      <c r="M267" s="27">
        <f>ROUND(IF(Budget!$N$24="K",M266*$B$192,0),0)</f>
        <v>0</v>
      </c>
      <c r="O267" s="114"/>
      <c r="P267" s="40"/>
    </row>
    <row r="268" spans="1:16" s="27" customFormat="1" ht="14" customHeight="1">
      <c r="A268" s="27" t="str">
        <f>+Budget!A25</f>
        <v>Varekøb, ambolte udenfor EU</v>
      </c>
      <c r="B268" s="27">
        <f>+Budget!C25</f>
        <v>0</v>
      </c>
      <c r="C268" s="27">
        <f>+Budget!E25</f>
        <v>0</v>
      </c>
      <c r="D268" s="27">
        <f>+Budget!G25</f>
        <v>0</v>
      </c>
      <c r="E268" s="27" t="e">
        <f>+Budget!#REF!</f>
        <v>#REF!</v>
      </c>
      <c r="F268" s="27" t="e">
        <f>+Budget!#REF!</f>
        <v>#REF!</v>
      </c>
      <c r="G268" s="27" t="e">
        <f>+Budget!#REF!</f>
        <v>#REF!</v>
      </c>
      <c r="H268" s="27" t="e">
        <f>+Budget!#REF!</f>
        <v>#REF!</v>
      </c>
      <c r="I268" s="27" t="e">
        <f>+Budget!#REF!</f>
        <v>#REF!</v>
      </c>
      <c r="J268" s="27" t="e">
        <f>+Budget!#REF!</f>
        <v>#REF!</v>
      </c>
      <c r="K268" s="27" t="e">
        <f>+Budget!#REF!</f>
        <v>#REF!</v>
      </c>
      <c r="L268" s="27" t="e">
        <f>+Budget!#REF!</f>
        <v>#REF!</v>
      </c>
      <c r="M268" s="27" t="e">
        <f>+Budget!#REF!</f>
        <v>#REF!</v>
      </c>
      <c r="O268" s="114"/>
      <c r="P268" s="40"/>
    </row>
    <row r="269" spans="1:16" s="27" customFormat="1" ht="14" customHeight="1">
      <c r="A269" s="27" t="s">
        <v>30</v>
      </c>
      <c r="B269" s="27">
        <f>ROUND(IF(Budget!$N$25="K",B268*$B$192,0),0)</f>
        <v>0</v>
      </c>
      <c r="C269" s="27">
        <f>ROUND(IF(Budget!$N$25="K",C268*$B$192,0),0)</f>
        <v>0</v>
      </c>
      <c r="D269" s="27">
        <f>ROUND(IF(Budget!$N$25="K",D268*$B$192,0),0)</f>
        <v>0</v>
      </c>
      <c r="E269" s="27">
        <f>ROUND(IF(Budget!$N$25="K",E268*$B$192,0),0)</f>
        <v>0</v>
      </c>
      <c r="F269" s="27">
        <f>ROUND(IF(Budget!$N$25="K",F268*$B$192,0),0)</f>
        <v>0</v>
      </c>
      <c r="G269" s="27">
        <f>ROUND(IF(Budget!$N$25="K",G268*$B$192,0),0)</f>
        <v>0</v>
      </c>
      <c r="H269" s="27">
        <f>ROUND(IF(Budget!$N$25="K",H268*$B$192,0),0)</f>
        <v>0</v>
      </c>
      <c r="I269" s="27">
        <f>ROUND(IF(Budget!$N$25="K",I268*$B$192,0),0)</f>
        <v>0</v>
      </c>
      <c r="J269" s="27">
        <f>ROUND(IF(Budget!$N$25="K",J268*$B$192,0),0)</f>
        <v>0</v>
      </c>
      <c r="K269" s="27">
        <f>ROUND(IF(Budget!$N$25="K",K268*$B$192,0),0)</f>
        <v>0</v>
      </c>
      <c r="L269" s="27">
        <f>ROUND(IF(Budget!$N$25="K",L268*$B$192,0),0)</f>
        <v>0</v>
      </c>
      <c r="M269" s="27">
        <f>ROUND(IF(Budget!$N$25="K",M268*$B$192,0),0)</f>
        <v>0</v>
      </c>
      <c r="O269" s="114"/>
      <c r="P269" s="40"/>
    </row>
    <row r="270" spans="1:16" s="28" customFormat="1" ht="21" customHeight="1">
      <c r="B270" s="75">
        <f>ROUND(SUM(B257:B269),0)</f>
        <v>0</v>
      </c>
      <c r="C270" s="75">
        <f t="shared" ref="C270:M270" si="57">ROUND(SUM(C257:C269),0)</f>
        <v>0</v>
      </c>
      <c r="D270" s="75">
        <f t="shared" si="57"/>
        <v>0</v>
      </c>
      <c r="E270" s="75" t="e">
        <f t="shared" si="57"/>
        <v>#REF!</v>
      </c>
      <c r="F270" s="75" t="e">
        <f t="shared" si="57"/>
        <v>#REF!</v>
      </c>
      <c r="G270" s="75" t="e">
        <f t="shared" si="57"/>
        <v>#REF!</v>
      </c>
      <c r="H270" s="75" t="e">
        <f t="shared" si="57"/>
        <v>#REF!</v>
      </c>
      <c r="I270" s="75" t="e">
        <f t="shared" si="57"/>
        <v>#REF!</v>
      </c>
      <c r="J270" s="75" t="e">
        <f t="shared" si="57"/>
        <v>#REF!</v>
      </c>
      <c r="K270" s="75" t="e">
        <f t="shared" si="57"/>
        <v>#REF!</v>
      </c>
      <c r="L270" s="75" t="e">
        <f t="shared" si="57"/>
        <v>#REF!</v>
      </c>
      <c r="M270" s="75" t="e">
        <f t="shared" si="57"/>
        <v>#REF!</v>
      </c>
      <c r="O270" s="114"/>
      <c r="P270" s="40"/>
    </row>
    <row r="271" spans="1:16" s="28" customFormat="1" ht="21" customHeight="1">
      <c r="A271" s="27" t="s">
        <v>118</v>
      </c>
      <c r="B271" s="76">
        <v>0</v>
      </c>
      <c r="C271" s="76">
        <v>0</v>
      </c>
      <c r="D271" s="76">
        <v>0</v>
      </c>
      <c r="E271" s="76"/>
      <c r="F271" s="76"/>
      <c r="G271" s="76"/>
      <c r="H271" s="76"/>
      <c r="I271" s="76"/>
      <c r="J271" s="76"/>
      <c r="K271" s="76"/>
      <c r="L271" s="76"/>
      <c r="M271" s="76"/>
      <c r="O271" s="114"/>
      <c r="P271" s="40"/>
    </row>
    <row r="272" spans="1:16" s="27" customFormat="1" ht="14" customHeight="1">
      <c r="A272" s="77" t="s">
        <v>211</v>
      </c>
      <c r="B272" s="78">
        <f>ROUND(IF($B250&gt;120,0,IF($B250&gt;90,0,IF($B250&gt;60,0,IF($B250&gt;30,0,IF($B250&gt;-1,-((30-$B250)/30*(B258+B259)),0))))),0)</f>
        <v>0</v>
      </c>
      <c r="C272" s="78">
        <f>ROUND(IF($B$250&gt;120,0,IF($B$250&gt;90,0,IF($B$250&gt;60,0,IF($B$250&gt;30,-((60-$B$250)/30*(B258+B259)),IF($B$250&gt;-1,-((B258+B259)-((30-$B$250)/30*(B258+B259))+(30-$B$250)/30*(C258+C259)),0))))),0)</f>
        <v>0</v>
      </c>
      <c r="D272" s="78">
        <f>ROUND(IF($B$250&gt;120,0,IF($B$250&gt;90,0,IF($B$250&gt;60,-((90-$B$250)/30*(B258+B259)),IF($B$250&gt;30,-((B258+B259)-((60-$B$250)/30*(B258+B259))+((60-$B$250)/30*(C258+C259))),IF($B$250&gt;-1,-((C258+C259)-((30-$B$250)/30*(C258+C259))+(30-$B$250)/30*(D258+D259)),0))))),0)</f>
        <v>0</v>
      </c>
      <c r="E272" s="78" t="e">
        <f>ROUND(IF($B$250&gt;120,0,IF($B$250&gt;90,-((120-$B$250)/30*(B258+B259)),IF($B$250&gt;60,-((B258+B259)-((90-$B$250)/30*(B258+B259))+((90-$B$250)/30*(C258+C259))),IF($B$250&gt;30,-((C258+C259)-((60-$B$250)/30*(C258+C259))+((60-$B$250)/30*(D258+D259))),IF($B$250&gt;-1,-((D258+D259)-((30-$B$250)/30*(D258+D259))+(30-$B$250)/30*(E258+E259)),0))))),0)</f>
        <v>#REF!</v>
      </c>
      <c r="F272" s="78" t="e">
        <f t="shared" ref="F272:M272" si="58">ROUND(IF($B$250&gt;120,0,IF($B$250&gt;90,-((B258+B259)-((120-$B$250)/30*(B258+B259))+((120-$B$250)/30*(C258+C259))),IF($B$250&gt;60,-((C258+C259)-((90-$B$250)/30*(C258+C259))+((90-$B$250)/30*(D258+D259))),IF($B$250&gt;30,-((D258+D259)-((60-$B$250)/30*(D258+D259))+((60-$B$250)/30*(E258+E259))),IF($B$250&gt;-1,-((E258+E259)-((30-$B$250)/30*(E258+E259))+(30-$B$250)/30*(F258+F259)),0))))),0)</f>
        <v>#REF!</v>
      </c>
      <c r="G272" s="78" t="e">
        <f t="shared" si="58"/>
        <v>#REF!</v>
      </c>
      <c r="H272" s="78" t="e">
        <f t="shared" si="58"/>
        <v>#REF!</v>
      </c>
      <c r="I272" s="78" t="e">
        <f t="shared" si="58"/>
        <v>#REF!</v>
      </c>
      <c r="J272" s="78" t="e">
        <f t="shared" si="58"/>
        <v>#REF!</v>
      </c>
      <c r="K272" s="78" t="e">
        <f t="shared" si="58"/>
        <v>#REF!</v>
      </c>
      <c r="L272" s="78" t="e">
        <f t="shared" si="58"/>
        <v>#REF!</v>
      </c>
      <c r="M272" s="78" t="e">
        <f t="shared" si="58"/>
        <v>#REF!</v>
      </c>
      <c r="O272" s="114"/>
      <c r="P272" s="40"/>
    </row>
    <row r="273" spans="1:16" s="27" customFormat="1" ht="14" customHeight="1">
      <c r="A273" s="27" t="s">
        <v>212</v>
      </c>
      <c r="B273" s="78">
        <f>ROUND(IF($B$251&gt;120,0,IF($B$251&gt;90,0,IF($B$251&gt;60,0,IF($B$251&gt;30,0,IF($B$251&gt;-1,-((30-$B$251)/30*(B260+B261)),0))))),0)</f>
        <v>0</v>
      </c>
      <c r="C273" s="78">
        <f>ROUND(IF($B$251&gt;120,0,IF($B$251&gt;90,0,IF($B$251&gt;60,0,IF($B$251&gt;30,-((60-$B$251)/30*(B260+B261)),IF($B$251&gt;-1,-((B260+B261)-((30-$B$251)/30*(B260+B261))+(30-$B$251)/30*(C260+C261)),0))))),0)</f>
        <v>0</v>
      </c>
      <c r="D273" s="78">
        <f>ROUND(IF($B$251&gt;120,0,IF($B$251&gt;90,0,IF($B$251&gt;60,-((90-$B$251)/30*(B260+B261)),IF($B$251&gt;30,-((B260+B261)-((60-$B$251)/30*(B260+B261))+((60-$B$251)/30*(C260+C261))),IF($B$251&gt;-1,-((C260+C261)-((30-$B$251)/30*(C260+C261))+(30-$B$251)/30*(D260+D261)),0))))),0)</f>
        <v>0</v>
      </c>
      <c r="E273" s="78" t="e">
        <f>ROUND(IF($B$251&gt;120,0,IF($B$251&gt;90,-((120-$B$251)/30*(B260+B261)),IF($B$251&gt;60,-((B260+B261)-((90-$B$251)/30*(B260+B261))+((90-$B$251)/30*(C260+C261))),IF($B$251&gt;30,-((C260+C261)-((60-$B$251)/30*(C260+C261))+((60-$B$251)/30*(D260+D261))),IF($B$251&gt;-1,-((D260+D261)-((30-$B$251)/30*(D260+D261))+(30-$B$251)/30*(E260+E261)),0))))),0)</f>
        <v>#REF!</v>
      </c>
      <c r="F273" s="78" t="e">
        <f t="shared" ref="F273:M273" si="59">ROUND(IF($B$251&gt;120,0,IF($B$251&gt;90,-((B260+B261)-((120-$B$251)/30*(B260+B261))+((120-$B$251)/30*(C260+C261))),IF($B$251&gt;60,-((C260+C261)-((90-$B$251)/30*(C260+C261))+((90-$B$251)/30*(D260+D261))),IF($B$251&gt;30,-((D260+D261)-((60-$B$251)/30*(D260+D261))+((60-$B$251)/30*(E260+E261))),IF($B$251&gt;-1,-((E260+E261)-((30-$B$251)/30*(E260+E261))+(30-$B$251)/30*(F260+F261)),0))))),0)</f>
        <v>#REF!</v>
      </c>
      <c r="G273" s="78" t="e">
        <f t="shared" si="59"/>
        <v>#REF!</v>
      </c>
      <c r="H273" s="78" t="e">
        <f t="shared" si="59"/>
        <v>#REF!</v>
      </c>
      <c r="I273" s="78" t="e">
        <f t="shared" si="59"/>
        <v>#REF!</v>
      </c>
      <c r="J273" s="78" t="e">
        <f t="shared" si="59"/>
        <v>#REF!</v>
      </c>
      <c r="K273" s="78" t="e">
        <f t="shared" si="59"/>
        <v>#REF!</v>
      </c>
      <c r="L273" s="78" t="e">
        <f t="shared" si="59"/>
        <v>#REF!</v>
      </c>
      <c r="M273" s="78" t="e">
        <f t="shared" si="59"/>
        <v>#REF!</v>
      </c>
      <c r="O273" s="114"/>
      <c r="P273" s="40"/>
    </row>
    <row r="274" spans="1:16" s="27" customFormat="1" ht="14" customHeight="1">
      <c r="A274" s="27" t="s">
        <v>207</v>
      </c>
      <c r="B274" s="78">
        <f>ROUND(IF($B252&gt;120,0,IF($B252&gt;90,0,IF($B252&gt;60,0,IF($B252&gt;30,0,IF($B252&gt;-1,-((30-$B252)/30*(B262+B263)),0))))),0)</f>
        <v>0</v>
      </c>
      <c r="C274" s="78">
        <f>ROUND(IF($B252&gt;120,0,IF($B252&gt;90,0,IF($B252&gt;60,0,IF($B252&gt;30,-((60-$B252)/30*(B262+B263)),IF($B252&gt;-1,-((B262+B263)-((30-$B252)/30*(B262+B263))+(30-$B252)/30*(C262+C263)),0))))),0)</f>
        <v>0</v>
      </c>
      <c r="D274" s="78">
        <f>ROUND(IF($B252&gt;120,0,IF($B252&gt;90,0,IF($B252&gt;60,-((90-$B252)/30*(B262+B263)),IF($B252&gt;30,-((B262+B263)-((60-$B252)/30*(B262+B263))+((60-$B252)/30*(C262+C263))),IF($B252&gt;-1,-((C262+C263)-((30-$B252)/30*(C262+C263))+(30-$B252)/30*(D262+D263)),0))))),0)</f>
        <v>0</v>
      </c>
      <c r="E274" s="78" t="e">
        <f>ROUND(IF($B252&gt;120,0,IF($B252&gt;90,-((120-$B252)/30*(B262+B263)),IF($B252&gt;60,-((B262+B263)-((90-$B252)/30*(B262+B263))+((90-$B252)/30*(C262+C263))),IF($B252&gt;30,-((C262+C263)-((60-$B252)/30*(C262+C263))+((60-$B252)/30*(D262+D263))),IF($B252&gt;-1,-((D262+D263)-((30-$B252)/30*(D262+D263))+(30-$B252)/30*(E262+E263)),0))))),0)</f>
        <v>#REF!</v>
      </c>
      <c r="F274" s="78" t="e">
        <f>ROUND(IF($B252&gt;120,0,IF($B252&gt;90,-((B262+B263)-((120-$B252)/30*(B262+B263))+((120-$B252)/30*(C262+C263))),IF($B252&gt;60,-((C262+C263)-((90-$B252)/30*(C262+C263))+((90-$B252)/30*(D262+D263))),IF($B252&gt;30,-((D262+D263)-((60-$B252)/30*(D262+D263))+((60-$B252)/30*(E262+E263))),IF($B252&gt;-1,-((E262+E263)-((30-$B252)/30*(E262+E263))+(30-$B252)/30*(F262+F263)),0))))),0)</f>
        <v>#REF!</v>
      </c>
      <c r="G274" s="78" t="e">
        <f t="shared" ref="G274:M274" si="60">ROUND(IF($B252&gt;120,0,IF($B252&gt;90,-((C262+C263)-((120-$B252)/30*(C262+C263))+((120-$B252)/30*(D262+D263))),IF($B252&gt;60,-((D262+D263)-((90-$B252)/30*(D262+D263))+((90-$B252)/30*(E262+E263))),IF($B252&gt;30,-((E262+E263)-((60-$B252)/30*(E262+E263))+((60-$B252)/30*(F262+F263))),IF($B252&gt;-1,-((F262+F263)-((30-$B252)/30*(F262+F263))+(30-$B252)/30*(G262+G263)),0))))),0)</f>
        <v>#REF!</v>
      </c>
      <c r="H274" s="78" t="e">
        <f t="shared" si="60"/>
        <v>#REF!</v>
      </c>
      <c r="I274" s="78" t="e">
        <f t="shared" si="60"/>
        <v>#REF!</v>
      </c>
      <c r="J274" s="78" t="e">
        <f t="shared" si="60"/>
        <v>#REF!</v>
      </c>
      <c r="K274" s="78" t="e">
        <f t="shared" si="60"/>
        <v>#REF!</v>
      </c>
      <c r="L274" s="78" t="e">
        <f t="shared" si="60"/>
        <v>#REF!</v>
      </c>
      <c r="M274" s="78" t="e">
        <f t="shared" si="60"/>
        <v>#REF!</v>
      </c>
      <c r="O274" s="114"/>
      <c r="P274" s="40"/>
    </row>
    <row r="275" spans="1:16" s="27" customFormat="1" ht="14" customHeight="1">
      <c r="A275" s="27" t="s">
        <v>208</v>
      </c>
      <c r="B275" s="78">
        <f>ROUND(IF($B253&gt;120,0,IF($B253&gt;90,0,IF($B253&gt;60,0,IF($B253&gt;30,0,IF($B253&gt;-1,-((30-$B253)/30*(B264+B265)),0))))),0)</f>
        <v>0</v>
      </c>
      <c r="C275" s="78">
        <f>ROUND(IF($B253&gt;120,0,IF($B253&gt;90,0,IF($B253&gt;60,0,IF($B253&gt;30,-((60-$B253)/30*(B264+B265)),IF($B253&gt;-1,-((B264+B265)-((30-$B253)/30*(B264+B265))+(30-$B253)/30*(C264+C265)),0))))),0)</f>
        <v>0</v>
      </c>
      <c r="D275" s="78">
        <f>ROUND(IF($B253&gt;120,0,IF($B253&gt;90,0,IF($B253&gt;60,-((90-$B253)/30*(B264+B265)),IF($B253&gt;30,-((B264+B265)-((60-$B253)/30*(B264+B265))+((60-$B253)/30*(C264+C265))),IF($B253&gt;-1,-((C264+C265)-((30-$B253)/30*(C264+C265))+(30-$B253)/30*(D264+D265)),0))))),0)</f>
        <v>0</v>
      </c>
      <c r="E275" s="78" t="e">
        <f>ROUND(IF($B253&gt;120,0,IF($B253&gt;90,-((120-$B253)/30*(B264+B265)),IF($B253&gt;60,-((B264+B265)-((90-$B253)/30*(B264+B265))+((90-$B253)/30*(C264+C265))),IF($B253&gt;30,-((C264+C265)-((60-$B253)/30*(C264+C265))+((60-$B253)/30*(D264+D265))),IF($B253&gt;-1,-((D264+D265)-((30-$B253)/30*(D264+D265))+(30-$B253)/30*(E264+E265)),0))))),0)</f>
        <v>#REF!</v>
      </c>
      <c r="F275" s="78" t="e">
        <f>ROUND(IF($B253&gt;120,0,IF($B253&gt;90,-((B264+B265)-((120-$B253)/30*(B264+B265))+((120-$B253)/30*(C264+C265))),IF($B253&gt;60,-((C264+C265)-((90-$B253)/30*(C264+C265))+((90-$B253)/30*(D264+D265))),IF($B253&gt;30,-((D264+D265)-((60-$B253)/30*(D264+D265))+((60-$B253)/30*(E264+E265))),IF($B253&gt;-1,-((E264+E265)-((30-$B253)/30*(E264+E265))+(30-$B253)/30*(F264+F265)),0))))),0)</f>
        <v>#REF!</v>
      </c>
      <c r="G275" s="78" t="e">
        <f t="shared" ref="G275:M275" si="61">ROUND(IF($B253&gt;120,0,IF($B253&gt;90,-((C264+C265)-((120-$B253)/30*(C264+C265))+((120-$B253)/30*(D264+D265))),IF($B253&gt;60,-((D264+D265)-((90-$B253)/30*(D264+D265))+((90-$B253)/30*(E264+E265))),IF($B253&gt;30,-((E264+E265)-((60-$B253)/30*(E264+E265))+((60-$B253)/30*(F264+F265))),IF($B253&gt;-1,-((F264+F265)-((30-$B253)/30*(F264+F265))+(30-$B253)/30*(G264+G265)),0))))),0)</f>
        <v>#REF!</v>
      </c>
      <c r="H275" s="78" t="e">
        <f t="shared" si="61"/>
        <v>#REF!</v>
      </c>
      <c r="I275" s="78" t="e">
        <f t="shared" si="61"/>
        <v>#REF!</v>
      </c>
      <c r="J275" s="78" t="e">
        <f t="shared" si="61"/>
        <v>#REF!</v>
      </c>
      <c r="K275" s="78" t="e">
        <f t="shared" si="61"/>
        <v>#REF!</v>
      </c>
      <c r="L275" s="78" t="e">
        <f t="shared" si="61"/>
        <v>#REF!</v>
      </c>
      <c r="M275" s="78" t="e">
        <f t="shared" si="61"/>
        <v>#REF!</v>
      </c>
      <c r="O275" s="114"/>
      <c r="P275" s="40"/>
    </row>
    <row r="276" spans="1:16" s="27" customFormat="1" ht="14" customHeight="1">
      <c r="A276" s="27" t="s">
        <v>209</v>
      </c>
      <c r="B276" s="78">
        <f>ROUND(IF($B254&gt;120,0,IF($B254&gt;90,0,IF($B254&gt;60,0,IF($B254&gt;30,0,IF($B254&gt;-1,-((30-$B254)/30*(B266+B267)),0))))),0)</f>
        <v>0</v>
      </c>
      <c r="C276" s="78">
        <f>ROUND(IF($B254&gt;120,0,IF($B254&gt;90,0,IF($B254&gt;60,0,IF($B254&gt;30,-((60-$B254)/30*(B266+B267)),IF($B254&gt;-1,-((B266+B267)-((30-$B254)/30*(B266+B267))+(30-$B254)/30*(C266+C267)),0))))),0)</f>
        <v>0</v>
      </c>
      <c r="D276" s="78">
        <f>ROUND(IF($B254&gt;120,0,IF($B254&gt;90,0,IF($B254&gt;60,-((90-$B254)/30*(B266+B267)),IF($B254&gt;30,-((B266+B267)-((60-$B254)/30*(B266+B267))+((60-$B254)/30*(C266+C267))),IF($B254&gt;-1,-((C266+C267)-((30-$B254)/30*(C266+C267))+(30-$B254)/30*(D266+D267)),0))))),0)</f>
        <v>0</v>
      </c>
      <c r="E276" s="78" t="e">
        <f>ROUND(IF($B254&gt;120,0,IF($B254&gt;90,-((120-$B254)/30*(B266+B267)),IF($B254&gt;60,-((B266+B267)-((90-$B254)/30*(B266+B267))+((90-$B254)/30*(C266+C267))),IF($B254&gt;30,-((C266+C267)-((60-$B254)/30*(C266+C267))+((60-$B254)/30*(D266+D267))),IF($B254&gt;-1,-((D266+D267)-((30-$B254)/30*(D266+D267))+(30-$B254)/30*(E266+E267)),0))))),0)</f>
        <v>#REF!</v>
      </c>
      <c r="F276" s="78" t="e">
        <f>ROUND(IF($B254&gt;120,0,IF($B254&gt;90,-((B266+B267)-((120-$B254)/30*(B266+B267))+((120-$B254)/30*(C266+C267))),IF($B254&gt;60,-((C266+C267)-((90-$B254)/30*(C266+C267))+((90-$B254)/30*(D266+D267))),IF($B254&gt;30,-((D266+D267)-((60-$B254)/30*(D266+D267))+((60-$B254)/30*(E266+E267))),IF($B254&gt;-1,-((E266+E267)-((30-$B254)/30*(E266+E267))+(30-$B254)/30*(F266+F267)),0))))),0)</f>
        <v>#REF!</v>
      </c>
      <c r="G276" s="78" t="e">
        <f t="shared" ref="G276:M276" si="62">ROUND(IF($B254&gt;120,0,IF($B254&gt;90,-((C266+C267)-((120-$B254)/30*(C266+C267))+((120-$B254)/30*(D266+D267))),IF($B254&gt;60,-((D266+D267)-((90-$B254)/30*(D266+D267))+((90-$B254)/30*(E266+E267))),IF($B254&gt;30,-((E266+E267)-((60-$B254)/30*(E266+E267))+((60-$B254)/30*(F266+F267))),IF($B254&gt;-1,-((F266+F267)-((30-$B254)/30*(F266+F267))+(30-$B254)/30*(G266+G267)),0))))),0)</f>
        <v>#REF!</v>
      </c>
      <c r="H276" s="78" t="e">
        <f t="shared" si="62"/>
        <v>#REF!</v>
      </c>
      <c r="I276" s="78" t="e">
        <f t="shared" si="62"/>
        <v>#REF!</v>
      </c>
      <c r="J276" s="78" t="e">
        <f t="shared" si="62"/>
        <v>#REF!</v>
      </c>
      <c r="K276" s="78" t="e">
        <f t="shared" si="62"/>
        <v>#REF!</v>
      </c>
      <c r="L276" s="78" t="e">
        <f t="shared" si="62"/>
        <v>#REF!</v>
      </c>
      <c r="M276" s="78" t="e">
        <f t="shared" si="62"/>
        <v>#REF!</v>
      </c>
      <c r="O276" s="114"/>
      <c r="P276" s="40"/>
    </row>
    <row r="277" spans="1:16" s="27" customFormat="1" ht="14" customHeight="1">
      <c r="A277" s="27" t="s">
        <v>210</v>
      </c>
      <c r="B277" s="78">
        <f>ROUND(IF($B255&gt;120,0,IF($B255&gt;90,0,IF($B255&gt;60,0,IF($B255&gt;30,0,IF($B255&gt;-1,-((30-$B255)/30*(B268+B269)),0))))),0)</f>
        <v>0</v>
      </c>
      <c r="C277" s="78">
        <f>ROUND(IF($B255&gt;120,0,IF($B255&gt;90,0,IF($B255&gt;60,0,IF($B255&gt;30,-((60-$B255)/30*(B268+B269)),IF($B255&gt;-1,-((B268+B269)-((30-$B255)/30*(B268+B269))+(30-$B255)/30*(C268+C269)),0))))),0)</f>
        <v>0</v>
      </c>
      <c r="D277" s="78">
        <f>ROUND(IF($B255&gt;120,0,IF($B255&gt;90,0,IF($B255&gt;60,-((90-$B255)/30*(B268+B269)),IF($B255&gt;30,-((B268+B269)-((60-$B255)/30*(B268+B269))+((60-$B255)/30*(C268+C269))),IF($B255&gt;-1,-((C268+C269)-((30-$B255)/30*(C268+C269))+(30-$B255)/30*(D268+D269)),0))))),0)</f>
        <v>0</v>
      </c>
      <c r="E277" s="78" t="e">
        <f>ROUND(IF($B255&gt;120,0,IF($B255&gt;90,-((120-$B255)/30*(B268+B269)),IF($B255&gt;60,-((B268+B269)-((90-$B255)/30*(B268+B269))+((90-$B255)/30*(C268+C269))),IF($B255&gt;30,-((C268+C269)-((60-$B255)/30*(C268+C269))+((60-$B255)/30*(D268+D269))),IF($B255&gt;-1,-((D268+D269)-((30-$B255)/30*(D268+D269))+(30-$B255)/30*(E268+E269)),0))))),0)</f>
        <v>#REF!</v>
      </c>
      <c r="F277" s="78" t="e">
        <f>ROUND(IF($B255&gt;120,0,IF($B255&gt;90,-((B268+B269)-((120-$B255)/30*(B268+B269))+((120-$B255)/30*(C268+C269))),IF($B255&gt;60,-((C268+C269)-((90-$B255)/30*(C268+C269))+((90-$B255)/30*(D268+D269))),IF($B255&gt;30,-((D268+D269)-((60-$B255)/30*(D268+D269))+((60-$B255)/30*(E268+E269))),IF($B255&gt;-1,-((E268+E269)-((30-$B255)/30*(E268+E269))+(30-$B255)/30*(F268+F269)),0))))),0)</f>
        <v>#REF!</v>
      </c>
      <c r="G277" s="78" t="e">
        <f t="shared" ref="G277:M277" si="63">ROUND(IF($B255&gt;120,0,IF($B255&gt;90,-((C268+C269)-((120-$B255)/30*(C268+C269))+((120-$B255)/30*(D268+D269))),IF($B255&gt;60,-((D268+D269)-((90-$B255)/30*(D268+D269))+((90-$B255)/30*(E268+E269))),IF($B255&gt;30,-((E268+E269)-((60-$B255)/30*(E268+E269))+((60-$B255)/30*(F268+F269))),IF($B255&gt;-1,-((F268+F269)-((30-$B255)/30*(F268+F269))+(30-$B255)/30*(G268+G269)),0))))),0)</f>
        <v>#REF!</v>
      </c>
      <c r="H277" s="78" t="e">
        <f t="shared" si="63"/>
        <v>#REF!</v>
      </c>
      <c r="I277" s="78" t="e">
        <f t="shared" si="63"/>
        <v>#REF!</v>
      </c>
      <c r="J277" s="78" t="e">
        <f t="shared" si="63"/>
        <v>#REF!</v>
      </c>
      <c r="K277" s="78" t="e">
        <f t="shared" si="63"/>
        <v>#REF!</v>
      </c>
      <c r="L277" s="78" t="e">
        <f t="shared" si="63"/>
        <v>#REF!</v>
      </c>
      <c r="M277" s="78" t="e">
        <f t="shared" si="63"/>
        <v>#REF!</v>
      </c>
      <c r="O277" s="114"/>
      <c r="P277" s="40"/>
    </row>
    <row r="278" spans="1:16" s="27" customFormat="1" ht="21" customHeight="1">
      <c r="A278" s="28" t="s">
        <v>117</v>
      </c>
      <c r="B278" s="28">
        <f>ROUND(SUM(B270:B277),0)</f>
        <v>0</v>
      </c>
      <c r="C278" s="28">
        <f t="shared" ref="C278:M278" si="64">ROUND(SUM(C270:C277),0)</f>
        <v>0</v>
      </c>
      <c r="D278" s="28">
        <f t="shared" si="64"/>
        <v>0</v>
      </c>
      <c r="E278" s="28" t="e">
        <f t="shared" si="64"/>
        <v>#REF!</v>
      </c>
      <c r="F278" s="28" t="e">
        <f t="shared" si="64"/>
        <v>#REF!</v>
      </c>
      <c r="G278" s="28" t="e">
        <f t="shared" si="64"/>
        <v>#REF!</v>
      </c>
      <c r="H278" s="28" t="e">
        <f t="shared" si="64"/>
        <v>#REF!</v>
      </c>
      <c r="I278" s="28" t="e">
        <f t="shared" si="64"/>
        <v>#REF!</v>
      </c>
      <c r="J278" s="28" t="e">
        <f t="shared" si="64"/>
        <v>#REF!</v>
      </c>
      <c r="K278" s="28" t="e">
        <f t="shared" si="64"/>
        <v>#REF!</v>
      </c>
      <c r="L278" s="28" t="e">
        <f t="shared" si="64"/>
        <v>#REF!</v>
      </c>
      <c r="M278" s="28" t="e">
        <f t="shared" si="64"/>
        <v>#REF!</v>
      </c>
      <c r="N278" s="28"/>
      <c r="O278" s="114"/>
      <c r="P278" s="40"/>
    </row>
    <row r="279" spans="1:16" s="27" customFormat="1" ht="14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114"/>
      <c r="P279" s="40"/>
    </row>
    <row r="280" spans="1:16" ht="14" customHeight="1">
      <c r="A280" s="41"/>
    </row>
    <row r="281" spans="1:16" s="27" customFormat="1">
      <c r="O281" s="114"/>
      <c r="P281" s="40"/>
    </row>
    <row r="282" spans="1:16" s="27" customFormat="1">
      <c r="A282" s="28" t="s">
        <v>141</v>
      </c>
      <c r="O282" s="114"/>
      <c r="P282" s="40"/>
    </row>
    <row r="283" spans="1:16" s="27" customFormat="1" ht="14" customHeight="1">
      <c r="O283" s="114"/>
      <c r="P283" s="40"/>
    </row>
    <row r="284" spans="1:16" s="27" customFormat="1" ht="14" customHeight="1">
      <c r="A284" s="79" t="s">
        <v>183</v>
      </c>
      <c r="B284" s="82">
        <v>0.45</v>
      </c>
      <c r="O284" s="114"/>
      <c r="P284" s="40"/>
    </row>
    <row r="285" spans="1:16" s="27" customFormat="1" ht="14" customHeight="1">
      <c r="A285" s="79"/>
      <c r="B285" s="69"/>
      <c r="O285" s="114"/>
      <c r="P285" s="40"/>
    </row>
    <row r="286" spans="1:16" s="27" customFormat="1" ht="14" customHeight="1">
      <c r="A286" s="81" t="s">
        <v>146</v>
      </c>
      <c r="B286" s="66"/>
      <c r="O286" s="114"/>
      <c r="P286" s="40"/>
    </row>
    <row r="287" spans="1:16" s="27" customFormat="1" ht="15.5" customHeight="1">
      <c r="A287" s="80" t="str">
        <f>+Budget!A30</f>
        <v>AM-indkomst excl. feriepenge</v>
      </c>
      <c r="B287" s="79">
        <f>+Budget!C30</f>
        <v>0</v>
      </c>
      <c r="C287" s="79">
        <f>+Budget!E30</f>
        <v>0</v>
      </c>
      <c r="D287" s="79">
        <f>+Budget!G30</f>
        <v>0</v>
      </c>
      <c r="E287" s="79" t="e">
        <f>+Budget!#REF!</f>
        <v>#REF!</v>
      </c>
      <c r="F287" s="79" t="e">
        <f>+Budget!#REF!</f>
        <v>#REF!</v>
      </c>
      <c r="G287" s="79" t="e">
        <f>+Budget!#REF!</f>
        <v>#REF!</v>
      </c>
      <c r="H287" s="79" t="e">
        <f>+Budget!#REF!</f>
        <v>#REF!</v>
      </c>
      <c r="I287" s="79" t="e">
        <f>+Budget!#REF!</f>
        <v>#REF!</v>
      </c>
      <c r="J287" s="79" t="e">
        <f>+Budget!#REF!</f>
        <v>#REF!</v>
      </c>
      <c r="K287" s="79" t="e">
        <f>+Budget!#REF!</f>
        <v>#REF!</v>
      </c>
      <c r="L287" s="79" t="e">
        <f>+Budget!#REF!</f>
        <v>#REF!</v>
      </c>
      <c r="M287" s="79" t="e">
        <f>+Budget!#REF!</f>
        <v>#REF!</v>
      </c>
      <c r="N287" s="27" t="e">
        <f>ROUND(SUM(B287:M287),0)</f>
        <v>#REF!</v>
      </c>
      <c r="O287" s="114"/>
      <c r="P287" s="40"/>
    </row>
    <row r="288" spans="1:16" s="27" customFormat="1" ht="14" customHeight="1">
      <c r="A288" s="27" t="s">
        <v>142</v>
      </c>
      <c r="B288" s="68">
        <f>-ROUND(B287*$B$284,0)</f>
        <v>0</v>
      </c>
      <c r="C288" s="68">
        <f t="shared" ref="C288:M288" si="65">-ROUND(C287*$B$284,0)</f>
        <v>0</v>
      </c>
      <c r="D288" s="68">
        <f t="shared" si="65"/>
        <v>0</v>
      </c>
      <c r="E288" s="68" t="e">
        <f t="shared" si="65"/>
        <v>#REF!</v>
      </c>
      <c r="F288" s="68" t="e">
        <f t="shared" si="65"/>
        <v>#REF!</v>
      </c>
      <c r="G288" s="68" t="e">
        <f t="shared" si="65"/>
        <v>#REF!</v>
      </c>
      <c r="H288" s="68" t="e">
        <f t="shared" si="65"/>
        <v>#REF!</v>
      </c>
      <c r="I288" s="68" t="e">
        <f t="shared" si="65"/>
        <v>#REF!</v>
      </c>
      <c r="J288" s="68" t="e">
        <f t="shared" si="65"/>
        <v>#REF!</v>
      </c>
      <c r="K288" s="68" t="e">
        <f t="shared" si="65"/>
        <v>#REF!</v>
      </c>
      <c r="L288" s="68" t="e">
        <f t="shared" si="65"/>
        <v>#REF!</v>
      </c>
      <c r="M288" s="68" t="e">
        <f t="shared" si="65"/>
        <v>#REF!</v>
      </c>
      <c r="N288" s="27" t="e">
        <f>ROUND(SUM(B288:M288),0)</f>
        <v>#REF!</v>
      </c>
      <c r="O288" s="114"/>
      <c r="P288" s="40"/>
    </row>
    <row r="289" spans="1:16" s="27" customFormat="1" ht="14" customHeight="1">
      <c r="A289" s="80" t="str">
        <f>+Budget!A31</f>
        <v>Feriepenge</v>
      </c>
      <c r="B289" s="79">
        <f>+Budget!C31</f>
        <v>0</v>
      </c>
      <c r="C289" s="79">
        <f>+Budget!E31</f>
        <v>0</v>
      </c>
      <c r="D289" s="79">
        <f>+Budget!G31</f>
        <v>0</v>
      </c>
      <c r="E289" s="79" t="e">
        <f>+Budget!#REF!</f>
        <v>#REF!</v>
      </c>
      <c r="F289" s="79" t="e">
        <f>+Budget!#REF!</f>
        <v>#REF!</v>
      </c>
      <c r="G289" s="79" t="e">
        <f>+Budget!#REF!</f>
        <v>#REF!</v>
      </c>
      <c r="H289" s="79" t="e">
        <f>+Budget!#REF!</f>
        <v>#REF!</v>
      </c>
      <c r="I289" s="79" t="e">
        <f>+Budget!#REF!</f>
        <v>#REF!</v>
      </c>
      <c r="J289" s="79" t="e">
        <f>+Budget!#REF!</f>
        <v>#REF!</v>
      </c>
      <c r="K289" s="79" t="e">
        <f>+Budget!#REF!</f>
        <v>#REF!</v>
      </c>
      <c r="L289" s="79" t="e">
        <f>+Budget!#REF!</f>
        <v>#REF!</v>
      </c>
      <c r="M289" s="79" t="e">
        <f>+Budget!#REF!</f>
        <v>#REF!</v>
      </c>
      <c r="N289" s="27" t="e">
        <f>ROUND(SUM(B289:M289),0)</f>
        <v>#REF!</v>
      </c>
      <c r="O289" s="114"/>
      <c r="P289" s="40"/>
    </row>
    <row r="290" spans="1:16" s="27" customFormat="1" ht="14" customHeight="1">
      <c r="A290" s="27" t="s">
        <v>142</v>
      </c>
      <c r="B290" s="68">
        <f>-ROUND(B289*$B$284,0)</f>
        <v>0</v>
      </c>
      <c r="C290" s="68">
        <f t="shared" ref="C290:M290" si="66">-ROUND(C289*$B$284,0)</f>
        <v>0</v>
      </c>
      <c r="D290" s="68">
        <f t="shared" si="66"/>
        <v>0</v>
      </c>
      <c r="E290" s="68" t="e">
        <f t="shared" si="66"/>
        <v>#REF!</v>
      </c>
      <c r="F290" s="68" t="e">
        <f t="shared" si="66"/>
        <v>#REF!</v>
      </c>
      <c r="G290" s="68" t="e">
        <f t="shared" si="66"/>
        <v>#REF!</v>
      </c>
      <c r="H290" s="68" t="e">
        <f t="shared" si="66"/>
        <v>#REF!</v>
      </c>
      <c r="I290" s="68" t="e">
        <f t="shared" si="66"/>
        <v>#REF!</v>
      </c>
      <c r="J290" s="68" t="e">
        <f t="shared" si="66"/>
        <v>#REF!</v>
      </c>
      <c r="K290" s="68" t="e">
        <f t="shared" si="66"/>
        <v>#REF!</v>
      </c>
      <c r="L290" s="68" t="e">
        <f t="shared" si="66"/>
        <v>#REF!</v>
      </c>
      <c r="M290" s="68" t="e">
        <f t="shared" si="66"/>
        <v>#REF!</v>
      </c>
      <c r="N290" s="27" t="e">
        <f>ROUND(SUM(B290:M290),0)</f>
        <v>#REF!</v>
      </c>
      <c r="O290" s="114"/>
      <c r="P290" s="40"/>
    </row>
    <row r="291" spans="1:16" s="27" customFormat="1" ht="21" customHeight="1">
      <c r="A291" s="79"/>
      <c r="B291" s="66">
        <f>ROUND(SUM(B287:B289),0)</f>
        <v>0</v>
      </c>
      <c r="C291" s="66">
        <f t="shared" ref="C291:M291" si="67">ROUND(SUM(C287:C289),0)</f>
        <v>0</v>
      </c>
      <c r="D291" s="66">
        <f t="shared" si="67"/>
        <v>0</v>
      </c>
      <c r="E291" s="66" t="e">
        <f t="shared" si="67"/>
        <v>#REF!</v>
      </c>
      <c r="F291" s="66" t="e">
        <f t="shared" si="67"/>
        <v>#REF!</v>
      </c>
      <c r="G291" s="66" t="e">
        <f t="shared" si="67"/>
        <v>#REF!</v>
      </c>
      <c r="H291" s="66" t="e">
        <f t="shared" si="67"/>
        <v>#REF!</v>
      </c>
      <c r="I291" s="66" t="e">
        <f t="shared" si="67"/>
        <v>#REF!</v>
      </c>
      <c r="J291" s="66" t="e">
        <f t="shared" si="67"/>
        <v>#REF!</v>
      </c>
      <c r="K291" s="66" t="e">
        <f t="shared" si="67"/>
        <v>#REF!</v>
      </c>
      <c r="L291" s="66" t="e">
        <f t="shared" si="67"/>
        <v>#REF!</v>
      </c>
      <c r="M291" s="66" t="e">
        <f t="shared" si="67"/>
        <v>#REF!</v>
      </c>
      <c r="N291" s="28" t="e">
        <f>ROUND(SUM(B291:M291),0)</f>
        <v>#REF!</v>
      </c>
      <c r="O291" s="114"/>
      <c r="P291" s="40"/>
    </row>
    <row r="292" spans="1:16" s="27" customFormat="1" ht="14" customHeight="1">
      <c r="O292" s="114"/>
      <c r="P292" s="40"/>
    </row>
    <row r="293" spans="1:16" s="27" customFormat="1" ht="14" customHeight="1">
      <c r="A293" s="28" t="s">
        <v>145</v>
      </c>
      <c r="O293" s="114"/>
      <c r="P293" s="40"/>
    </row>
    <row r="294" spans="1:16" s="28" customFormat="1" ht="15.5" customHeight="1">
      <c r="A294" s="27" t="s">
        <v>136</v>
      </c>
      <c r="B294" s="27">
        <f>+Balance!C61</f>
        <v>0</v>
      </c>
      <c r="C294" s="27">
        <f t="shared" ref="C294:M294" si="68">+B298</f>
        <v>0</v>
      </c>
      <c r="D294" s="27">
        <f t="shared" si="68"/>
        <v>0</v>
      </c>
      <c r="E294" s="27">
        <f t="shared" si="68"/>
        <v>0</v>
      </c>
      <c r="F294" s="27" t="e">
        <f t="shared" si="68"/>
        <v>#REF!</v>
      </c>
      <c r="G294" s="27" t="e">
        <f t="shared" si="68"/>
        <v>#REF!</v>
      </c>
      <c r="H294" s="27" t="e">
        <f t="shared" si="68"/>
        <v>#REF!</v>
      </c>
      <c r="I294" s="27" t="e">
        <f t="shared" si="68"/>
        <v>#REF!</v>
      </c>
      <c r="J294" s="27" t="e">
        <f t="shared" si="68"/>
        <v>#REF!</v>
      </c>
      <c r="K294" s="27" t="e">
        <f t="shared" si="68"/>
        <v>#REF!</v>
      </c>
      <c r="L294" s="27" t="e">
        <f t="shared" si="68"/>
        <v>#REF!</v>
      </c>
      <c r="M294" s="27" t="e">
        <f t="shared" si="68"/>
        <v>#REF!</v>
      </c>
      <c r="O294" s="114"/>
      <c r="P294" s="40"/>
    </row>
    <row r="295" spans="1:16" s="37" customFormat="1" ht="14" customHeight="1">
      <c r="A295" s="27" t="s">
        <v>151</v>
      </c>
      <c r="B295" s="27">
        <f>SUM(B289:B290)</f>
        <v>0</v>
      </c>
      <c r="C295" s="27">
        <f t="shared" ref="C295:M295" si="69">SUM(C289:C290)</f>
        <v>0</v>
      </c>
      <c r="D295" s="27">
        <f t="shared" si="69"/>
        <v>0</v>
      </c>
      <c r="E295" s="27" t="e">
        <f t="shared" si="69"/>
        <v>#REF!</v>
      </c>
      <c r="F295" s="27" t="e">
        <f t="shared" si="69"/>
        <v>#REF!</v>
      </c>
      <c r="G295" s="27" t="e">
        <f t="shared" si="69"/>
        <v>#REF!</v>
      </c>
      <c r="H295" s="27" t="e">
        <f t="shared" si="69"/>
        <v>#REF!</v>
      </c>
      <c r="I295" s="27" t="e">
        <f t="shared" si="69"/>
        <v>#REF!</v>
      </c>
      <c r="J295" s="27" t="e">
        <f t="shared" si="69"/>
        <v>#REF!</v>
      </c>
      <c r="K295" s="27" t="e">
        <f t="shared" si="69"/>
        <v>#REF!</v>
      </c>
      <c r="L295" s="27" t="e">
        <f t="shared" si="69"/>
        <v>#REF!</v>
      </c>
      <c r="M295" s="27" t="e">
        <f t="shared" si="69"/>
        <v>#REF!</v>
      </c>
      <c r="O295" s="116"/>
    </row>
    <row r="296" spans="1:16" ht="15.5" customHeight="1">
      <c r="A296" s="28" t="s">
        <v>148</v>
      </c>
      <c r="B296" s="28">
        <f>ROUND(SUM(B294:B295),0)</f>
        <v>0</v>
      </c>
      <c r="C296" s="28">
        <f t="shared" ref="C296:M296" si="70">ROUND(SUM(C295:C295),0)</f>
        <v>0</v>
      </c>
      <c r="D296" s="28">
        <f t="shared" si="70"/>
        <v>0</v>
      </c>
      <c r="E296" s="28" t="e">
        <f t="shared" si="70"/>
        <v>#REF!</v>
      </c>
      <c r="F296" s="28" t="e">
        <f t="shared" si="70"/>
        <v>#REF!</v>
      </c>
      <c r="G296" s="28" t="e">
        <f t="shared" si="70"/>
        <v>#REF!</v>
      </c>
      <c r="H296" s="28" t="e">
        <f t="shared" si="70"/>
        <v>#REF!</v>
      </c>
      <c r="I296" s="28" t="e">
        <f t="shared" si="70"/>
        <v>#REF!</v>
      </c>
      <c r="J296" s="28" t="e">
        <f t="shared" si="70"/>
        <v>#REF!</v>
      </c>
      <c r="K296" s="28" t="e">
        <f t="shared" si="70"/>
        <v>#REF!</v>
      </c>
      <c r="L296" s="28" t="e">
        <f t="shared" si="70"/>
        <v>#REF!</v>
      </c>
      <c r="M296" s="28" t="e">
        <f t="shared" si="70"/>
        <v>#REF!</v>
      </c>
    </row>
    <row r="297" spans="1:16" ht="15.5" customHeight="1">
      <c r="A297" s="27" t="s">
        <v>126</v>
      </c>
      <c r="B297" s="27">
        <f>-B294</f>
        <v>0</v>
      </c>
      <c r="C297" s="27">
        <v>0</v>
      </c>
      <c r="D297" s="27">
        <v>0</v>
      </c>
      <c r="E297" s="27">
        <f>-ROUND(D298,0)</f>
        <v>0</v>
      </c>
      <c r="F297" s="27">
        <v>0</v>
      </c>
      <c r="G297" s="27">
        <v>0</v>
      </c>
      <c r="H297" s="27" t="e">
        <f>-ROUND(G298,0)</f>
        <v>#REF!</v>
      </c>
      <c r="I297" s="27">
        <v>0</v>
      </c>
      <c r="J297" s="27">
        <v>0</v>
      </c>
      <c r="K297" s="27" t="e">
        <f>-ROUND(J298,0)</f>
        <v>#REF!</v>
      </c>
      <c r="L297" s="27">
        <v>0</v>
      </c>
      <c r="M297" s="27">
        <v>0</v>
      </c>
    </row>
    <row r="298" spans="1:16" ht="15.5" customHeight="1">
      <c r="A298" s="28" t="s">
        <v>137</v>
      </c>
      <c r="B298" s="28">
        <f t="shared" ref="B298:M298" si="71">ROUND(SUM(B294:B295)+SUM(B297:B297),0)</f>
        <v>0</v>
      </c>
      <c r="C298" s="28">
        <f t="shared" si="71"/>
        <v>0</v>
      </c>
      <c r="D298" s="28">
        <f t="shared" si="71"/>
        <v>0</v>
      </c>
      <c r="E298" s="28" t="e">
        <f t="shared" si="71"/>
        <v>#REF!</v>
      </c>
      <c r="F298" s="28" t="e">
        <f t="shared" si="71"/>
        <v>#REF!</v>
      </c>
      <c r="G298" s="28" t="e">
        <f t="shared" si="71"/>
        <v>#REF!</v>
      </c>
      <c r="H298" s="28" t="e">
        <f t="shared" si="71"/>
        <v>#REF!</v>
      </c>
      <c r="I298" s="28" t="e">
        <f t="shared" si="71"/>
        <v>#REF!</v>
      </c>
      <c r="J298" s="28" t="e">
        <f t="shared" si="71"/>
        <v>#REF!</v>
      </c>
      <c r="K298" s="28" t="e">
        <f t="shared" si="71"/>
        <v>#REF!</v>
      </c>
      <c r="L298" s="28" t="e">
        <f t="shared" si="71"/>
        <v>#REF!</v>
      </c>
      <c r="M298" s="28" t="e">
        <f t="shared" si="71"/>
        <v>#REF!</v>
      </c>
    </row>
    <row r="299" spans="1:16" ht="14" customHeight="1"/>
    <row r="300" spans="1:16" ht="14" customHeight="1"/>
    <row r="301" spans="1:16" ht="14" customHeight="1">
      <c r="A301" s="42" t="s">
        <v>153</v>
      </c>
      <c r="C301" s="39" t="s">
        <v>154</v>
      </c>
      <c r="E301" s="175" t="s">
        <v>127</v>
      </c>
      <c r="F301" s="39" t="s">
        <v>155</v>
      </c>
      <c r="I301" s="74" t="str">
        <f>IF(E301="x","",IF(E302="x","","HUSK AT SÆTTE KRYDS!!!"))</f>
        <v/>
      </c>
    </row>
    <row r="302" spans="1:16" ht="14" customHeight="1">
      <c r="E302" s="175"/>
      <c r="F302" s="39" t="s">
        <v>156</v>
      </c>
    </row>
    <row r="303" spans="1:16" s="27" customFormat="1" ht="14" customHeight="1">
      <c r="A303" s="28" t="s">
        <v>140</v>
      </c>
      <c r="O303" s="114"/>
      <c r="P303" s="40"/>
    </row>
    <row r="304" spans="1:16" s="28" customFormat="1" ht="15.5" customHeight="1">
      <c r="A304" s="27" t="s">
        <v>147</v>
      </c>
      <c r="B304" s="27">
        <f>+Balance!C62</f>
        <v>0</v>
      </c>
      <c r="C304" s="27">
        <f t="shared" ref="C304:M304" si="72">+B308</f>
        <v>0</v>
      </c>
      <c r="D304" s="27">
        <f t="shared" si="72"/>
        <v>0</v>
      </c>
      <c r="E304" s="27">
        <f t="shared" si="72"/>
        <v>0</v>
      </c>
      <c r="F304" s="27" t="e">
        <f t="shared" si="72"/>
        <v>#REF!</v>
      </c>
      <c r="G304" s="27" t="e">
        <f t="shared" si="72"/>
        <v>#REF!</v>
      </c>
      <c r="H304" s="27" t="e">
        <f t="shared" si="72"/>
        <v>#REF!</v>
      </c>
      <c r="I304" s="27" t="e">
        <f t="shared" si="72"/>
        <v>#REF!</v>
      </c>
      <c r="J304" s="27" t="e">
        <f t="shared" si="72"/>
        <v>#REF!</v>
      </c>
      <c r="K304" s="27" t="e">
        <f t="shared" si="72"/>
        <v>#REF!</v>
      </c>
      <c r="L304" s="27" t="e">
        <f t="shared" si="72"/>
        <v>#REF!</v>
      </c>
      <c r="M304" s="27" t="e">
        <f t="shared" si="72"/>
        <v>#REF!</v>
      </c>
      <c r="O304" s="114"/>
      <c r="P304" s="40"/>
    </row>
    <row r="305" spans="1:15" s="37" customFormat="1" ht="14" customHeight="1">
      <c r="A305" s="27" t="s">
        <v>144</v>
      </c>
      <c r="B305" s="27">
        <f>-B288-B290</f>
        <v>0</v>
      </c>
      <c r="C305" s="27">
        <f t="shared" ref="C305:M305" si="73">-C288-C290</f>
        <v>0</v>
      </c>
      <c r="D305" s="27">
        <f t="shared" si="73"/>
        <v>0</v>
      </c>
      <c r="E305" s="27" t="e">
        <f t="shared" si="73"/>
        <v>#REF!</v>
      </c>
      <c r="F305" s="27" t="e">
        <f t="shared" si="73"/>
        <v>#REF!</v>
      </c>
      <c r="G305" s="27" t="e">
        <f t="shared" si="73"/>
        <v>#REF!</v>
      </c>
      <c r="H305" s="27" t="e">
        <f t="shared" si="73"/>
        <v>#REF!</v>
      </c>
      <c r="I305" s="27" t="e">
        <f t="shared" si="73"/>
        <v>#REF!</v>
      </c>
      <c r="J305" s="27" t="e">
        <f t="shared" si="73"/>
        <v>#REF!</v>
      </c>
      <c r="K305" s="27" t="e">
        <f t="shared" si="73"/>
        <v>#REF!</v>
      </c>
      <c r="L305" s="27" t="e">
        <f t="shared" si="73"/>
        <v>#REF!</v>
      </c>
      <c r="M305" s="27" t="e">
        <f t="shared" si="73"/>
        <v>#REF!</v>
      </c>
      <c r="O305" s="116"/>
    </row>
    <row r="306" spans="1:15" ht="15.5" customHeight="1">
      <c r="A306" s="28" t="s">
        <v>149</v>
      </c>
      <c r="B306" s="28">
        <f t="shared" ref="B306:M306" si="74">ROUND(SUM(B304:B305),0)</f>
        <v>0</v>
      </c>
      <c r="C306" s="28">
        <f t="shared" si="74"/>
        <v>0</v>
      </c>
      <c r="D306" s="28">
        <f t="shared" si="74"/>
        <v>0</v>
      </c>
      <c r="E306" s="28" t="e">
        <f t="shared" si="74"/>
        <v>#REF!</v>
      </c>
      <c r="F306" s="28" t="e">
        <f t="shared" si="74"/>
        <v>#REF!</v>
      </c>
      <c r="G306" s="28" t="e">
        <f t="shared" si="74"/>
        <v>#REF!</v>
      </c>
      <c r="H306" s="28" t="e">
        <f t="shared" si="74"/>
        <v>#REF!</v>
      </c>
      <c r="I306" s="28" t="e">
        <f t="shared" si="74"/>
        <v>#REF!</v>
      </c>
      <c r="J306" s="28" t="e">
        <f t="shared" si="74"/>
        <v>#REF!</v>
      </c>
      <c r="K306" s="28" t="e">
        <f t="shared" si="74"/>
        <v>#REF!</v>
      </c>
      <c r="L306" s="28" t="e">
        <f t="shared" si="74"/>
        <v>#REF!</v>
      </c>
      <c r="M306" s="28" t="e">
        <f t="shared" si="74"/>
        <v>#REF!</v>
      </c>
    </row>
    <row r="307" spans="1:15" ht="15.5" customHeight="1">
      <c r="A307" s="27" t="s">
        <v>126</v>
      </c>
      <c r="B307" s="27">
        <f>-ROUND(IF($E$301="x",B304,IF($E$302="x",B306,0)),0)</f>
        <v>0</v>
      </c>
      <c r="C307" s="27">
        <f>-ROUND(IF($E$301="x",C304,IF($E$302="x",C306,0)),0)</f>
        <v>0</v>
      </c>
      <c r="D307" s="27">
        <f t="shared" ref="D307:M307" si="75">-ROUND(IF($E$301="x",D304,IF($E$302="x",D306,0)),0)</f>
        <v>0</v>
      </c>
      <c r="E307" s="27">
        <f t="shared" si="75"/>
        <v>0</v>
      </c>
      <c r="F307" s="27" t="e">
        <f t="shared" si="75"/>
        <v>#REF!</v>
      </c>
      <c r="G307" s="27" t="e">
        <f t="shared" si="75"/>
        <v>#REF!</v>
      </c>
      <c r="H307" s="27" t="e">
        <f t="shared" si="75"/>
        <v>#REF!</v>
      </c>
      <c r="I307" s="27" t="e">
        <f t="shared" si="75"/>
        <v>#REF!</v>
      </c>
      <c r="J307" s="27" t="e">
        <f t="shared" si="75"/>
        <v>#REF!</v>
      </c>
      <c r="K307" s="27" t="e">
        <f t="shared" si="75"/>
        <v>#REF!</v>
      </c>
      <c r="L307" s="27" t="e">
        <f t="shared" si="75"/>
        <v>#REF!</v>
      </c>
      <c r="M307" s="27" t="e">
        <f t="shared" si="75"/>
        <v>#REF!</v>
      </c>
    </row>
    <row r="308" spans="1:15" ht="15.5" customHeight="1">
      <c r="A308" s="28" t="s">
        <v>150</v>
      </c>
      <c r="B308" s="28">
        <f t="shared" ref="B308:M308" si="76">ROUND(SUM(B304:B305)+SUM(B307:B307),0)</f>
        <v>0</v>
      </c>
      <c r="C308" s="28">
        <f t="shared" si="76"/>
        <v>0</v>
      </c>
      <c r="D308" s="28">
        <f t="shared" si="76"/>
        <v>0</v>
      </c>
      <c r="E308" s="28" t="e">
        <f t="shared" si="76"/>
        <v>#REF!</v>
      </c>
      <c r="F308" s="28" t="e">
        <f t="shared" si="76"/>
        <v>#REF!</v>
      </c>
      <c r="G308" s="28" t="e">
        <f t="shared" si="76"/>
        <v>#REF!</v>
      </c>
      <c r="H308" s="28" t="e">
        <f t="shared" si="76"/>
        <v>#REF!</v>
      </c>
      <c r="I308" s="28" t="e">
        <f t="shared" si="76"/>
        <v>#REF!</v>
      </c>
      <c r="J308" s="28" t="e">
        <f t="shared" si="76"/>
        <v>#REF!</v>
      </c>
      <c r="K308" s="28" t="e">
        <f t="shared" si="76"/>
        <v>#REF!</v>
      </c>
      <c r="L308" s="28" t="e">
        <f t="shared" si="76"/>
        <v>#REF!</v>
      </c>
      <c r="M308" s="28" t="e">
        <f t="shared" si="76"/>
        <v>#REF!</v>
      </c>
    </row>
    <row r="310" spans="1:15">
      <c r="A310" s="41" t="s">
        <v>152</v>
      </c>
      <c r="B310" s="41">
        <f>+B287+B288-B297-B307</f>
        <v>0</v>
      </c>
      <c r="C310" s="41">
        <f t="shared" ref="C310:M310" si="77">+C287+C288-C297-C307</f>
        <v>0</v>
      </c>
      <c r="D310" s="41">
        <f t="shared" si="77"/>
        <v>0</v>
      </c>
      <c r="E310" s="41" t="e">
        <f t="shared" si="77"/>
        <v>#REF!</v>
      </c>
      <c r="F310" s="41" t="e">
        <f t="shared" si="77"/>
        <v>#REF!</v>
      </c>
      <c r="G310" s="41" t="e">
        <f t="shared" si="77"/>
        <v>#REF!</v>
      </c>
      <c r="H310" s="41" t="e">
        <f t="shared" si="77"/>
        <v>#REF!</v>
      </c>
      <c r="I310" s="41" t="e">
        <f t="shared" si="77"/>
        <v>#REF!</v>
      </c>
      <c r="J310" s="41" t="e">
        <f t="shared" si="77"/>
        <v>#REF!</v>
      </c>
      <c r="K310" s="41" t="e">
        <f t="shared" si="77"/>
        <v>#REF!</v>
      </c>
      <c r="L310" s="41" t="e">
        <f t="shared" si="77"/>
        <v>#REF!</v>
      </c>
      <c r="M310" s="41" t="e">
        <f t="shared" si="77"/>
        <v>#REF!</v>
      </c>
    </row>
  </sheetData>
  <phoneticPr fontId="24" type="noConversion"/>
  <pageMargins left="0.78740157480314965" right="0.78740157480314965" top="1.1811023622047245" bottom="0.78740157480314965" header="0.47244094488188981" footer="0.47244094488188981"/>
  <pageSetup paperSize="9" scale="77" fitToHeight="100" orientation="portrait" useFirstPageNumber="1" horizontalDpi="4294967292" verticalDpi="300"/>
  <headerFooter alignWithMargins="0">
    <oddFooter xml:space="preserve">&amp;C
</oddFooter>
  </headerFooter>
  <rowBreaks count="6" manualBreakCount="6">
    <brk id="38" max="13" man="1"/>
    <brk id="76" max="13" man="1"/>
    <brk id="113" max="13" man="1"/>
    <brk id="149" max="13" man="1"/>
    <brk id="209" max="13" man="1"/>
    <brk id="280" max="1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 enableFormatConditionsCalculation="0">
    <pageSetUpPr fitToPage="1"/>
  </sheetPr>
  <dimension ref="A1:O42"/>
  <sheetViews>
    <sheetView workbookViewId="0">
      <selection activeCell="C29" sqref="C29"/>
    </sheetView>
  </sheetViews>
  <sheetFormatPr baseColWidth="10" defaultColWidth="8.83203125" defaultRowHeight="15" x14ac:dyDescent="0"/>
  <cols>
    <col min="1" max="1" width="21.6640625" bestFit="1" customWidth="1"/>
    <col min="2" max="14" width="9.6640625" customWidth="1"/>
    <col min="15" max="15" width="8.6640625" style="36" customWidth="1"/>
  </cols>
  <sheetData>
    <row r="1" spans="1:15" ht="14" customHeight="1"/>
    <row r="2" spans="1:15" ht="17.75" customHeight="1">
      <c r="A2" s="83" t="s">
        <v>52</v>
      </c>
    </row>
    <row r="3" spans="1:15" ht="14" customHeight="1"/>
    <row r="4" spans="1:15" s="25" customFormat="1" ht="17.75" customHeight="1">
      <c r="A4" s="33"/>
      <c r="B4" s="25">
        <f>+Forudsætn.!B3</f>
        <v>2013</v>
      </c>
      <c r="C4" s="25">
        <f>+Forudsætn.!C3</f>
        <v>2014</v>
      </c>
      <c r="D4" s="25">
        <f>+Forudsætn.!D3</f>
        <v>2015</v>
      </c>
      <c r="E4" s="25" t="str">
        <f>+Forudsætn.!E3</f>
        <v>Apr</v>
      </c>
      <c r="F4" s="25" t="str">
        <f>+Forudsætn.!F3</f>
        <v>Maj</v>
      </c>
      <c r="G4" s="25" t="str">
        <f>+Forudsætn.!G3</f>
        <v>Jun</v>
      </c>
      <c r="H4" s="25" t="str">
        <f>+Forudsætn.!H3</f>
        <v>Jul</v>
      </c>
      <c r="I4" s="25" t="str">
        <f>+Forudsætn.!I3</f>
        <v>Aug</v>
      </c>
      <c r="J4" s="25" t="str">
        <f>+Forudsætn.!J3</f>
        <v>Sep</v>
      </c>
      <c r="K4" s="25" t="str">
        <f>+Forudsætn.!K3</f>
        <v>Okt</v>
      </c>
      <c r="L4" s="25" t="str">
        <f>+Forudsætn.!L3</f>
        <v>Nov</v>
      </c>
      <c r="M4" s="25" t="str">
        <f>+Forudsætn.!M3</f>
        <v>Dec</v>
      </c>
      <c r="N4" s="25" t="s">
        <v>119</v>
      </c>
    </row>
    <row r="5" spans="1:15" s="24" customFormat="1" ht="14" customHeight="1">
      <c r="A5" s="22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s="24" customFormat="1" ht="14" customHeight="1">
      <c r="A6" s="24" t="s">
        <v>120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1:15" ht="14" customHeight="1">
      <c r="A7" s="2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5"/>
    </row>
    <row r="8" spans="1:15" ht="14" customHeight="1">
      <c r="A8" s="7">
        <f>+Budget!A6</f>
        <v>0</v>
      </c>
      <c r="B8" s="12">
        <f>ROUND(SUMIF(Budget!$N6:$N16,"S",Budget!C6:C16)*Forudsætn.!B$192,0)</f>
        <v>0</v>
      </c>
      <c r="C8" s="12">
        <f>ROUND(SUMIF(Budget!$N6:$N16,"S",Budget!E6:E16)*Forudsætn.!C$192,0)</f>
        <v>0</v>
      </c>
      <c r="D8" s="12">
        <f>ROUND(SUMIF(Budget!$N6:$N16,"S",Budget!G6:G16)*Forudsætn.!D$192,0)</f>
        <v>0</v>
      </c>
      <c r="E8" s="12" t="e">
        <f>ROUND(SUMIF(Budget!$N6:$N16,"S",Budget!#REF!)*Forudsætn.!E$192,0)</f>
        <v>#REF!</v>
      </c>
      <c r="F8" s="12" t="e">
        <f>ROUND(SUMIF(Budget!$N6:$N16,"S",Budget!#REF!)*Forudsætn.!F$192,0)</f>
        <v>#REF!</v>
      </c>
      <c r="G8" s="12" t="e">
        <f>ROUND(SUMIF(Budget!$N6:$N16,"S",Budget!#REF!)*Forudsætn.!G$192,0)</f>
        <v>#REF!</v>
      </c>
      <c r="H8" s="12" t="e">
        <f>ROUND(SUMIF(Budget!$N6:$N16,"S",Budget!#REF!)*Forudsætn.!H$192,0)</f>
        <v>#REF!</v>
      </c>
      <c r="I8" s="12" t="e">
        <f>ROUND(SUMIF(Budget!$N6:$N16,"S",Budget!#REF!)*Forudsætn.!I$192,0)</f>
        <v>#REF!</v>
      </c>
      <c r="J8" s="12" t="e">
        <f>ROUND(SUMIF(Budget!$N6:$N16,"S",Budget!#REF!)*Forudsætn.!J$192,0)</f>
        <v>#REF!</v>
      </c>
      <c r="K8" s="12" t="e">
        <f>ROUND(SUMIF(Budget!$N6:$N16,"S",Budget!#REF!)*Forudsætn.!K$192,0)</f>
        <v>#REF!</v>
      </c>
      <c r="L8" s="12" t="e">
        <f>ROUND(SUMIF(Budget!$N6:$N16,"S",Budget!#REF!)*Forudsætn.!L$192,0)</f>
        <v>#REF!</v>
      </c>
      <c r="M8" s="12" t="e">
        <f>ROUND(SUMIF(Budget!$N6:$N16,"S",Budget!#REF!)*Forudsætn.!M$192,0)</f>
        <v>#REF!</v>
      </c>
      <c r="N8" s="23" t="e">
        <f t="shared" ref="N8:N17" si="0">ROUND(SUM(B8:M8),0)</f>
        <v>#REF!</v>
      </c>
      <c r="O8" s="5"/>
    </row>
    <row r="9" spans="1:15" ht="14" customHeight="1">
      <c r="A9" s="7">
        <f>+Budget!A19</f>
        <v>0</v>
      </c>
      <c r="B9" s="12">
        <f>-ROUND(SUMIF(Budget!$N19:$N27,"S",Budget!C19:C27)*Forudsætn.!B$192,0)</f>
        <v>0</v>
      </c>
      <c r="C9" s="12">
        <f>-ROUND(SUMIF(Budget!$N19:$N27,"S",Budget!E19:E27)*Forudsætn.!C$192,0)</f>
        <v>0</v>
      </c>
      <c r="D9" s="12">
        <f>-ROUND(SUMIF(Budget!$N19:$N27,"S",Budget!G19:G27)*Forudsætn.!D$192,0)</f>
        <v>0</v>
      </c>
      <c r="E9" s="12" t="e">
        <f>-ROUND(SUMIF(Budget!$N19:$N27,"S",Budget!#REF!)*Forudsætn.!E$192,0)</f>
        <v>#REF!</v>
      </c>
      <c r="F9" s="12" t="e">
        <f>-ROUND(SUMIF(Budget!$N19:$N27,"S",Budget!#REF!)*Forudsætn.!F$192,0)</f>
        <v>#REF!</v>
      </c>
      <c r="G9" s="12" t="e">
        <f>-ROUND(SUMIF(Budget!$N19:$N27,"S",Budget!#REF!)*Forudsætn.!G$192,0)</f>
        <v>#REF!</v>
      </c>
      <c r="H9" s="12" t="e">
        <f>-ROUND(SUMIF(Budget!$N19:$N27,"S",Budget!#REF!)*Forudsætn.!H$192,0)</f>
        <v>#REF!</v>
      </c>
      <c r="I9" s="12" t="e">
        <f>-ROUND(SUMIF(Budget!$N19:$N27,"S",Budget!#REF!)*Forudsætn.!I$192,0)</f>
        <v>#REF!</v>
      </c>
      <c r="J9" s="12" t="e">
        <f>-ROUND(SUMIF(Budget!$N19:$N27,"S",Budget!#REF!)*Forudsætn.!J$192,0)</f>
        <v>#REF!</v>
      </c>
      <c r="K9" s="12" t="e">
        <f>-ROUND(SUMIF(Budget!$N19:$N27,"S",Budget!#REF!)*Forudsætn.!K$192,0)</f>
        <v>#REF!</v>
      </c>
      <c r="L9" s="12" t="e">
        <f>-ROUND(SUMIF(Budget!$N19:$N27,"S",Budget!#REF!)*Forudsætn.!L$192,0)</f>
        <v>#REF!</v>
      </c>
      <c r="M9" s="12" t="e">
        <f>-ROUND(SUMIF(Budget!$N19:$N27,"S",Budget!#REF!)*Forudsætn.!M$192,0)</f>
        <v>#REF!</v>
      </c>
      <c r="N9" s="23" t="e">
        <f t="shared" si="0"/>
        <v>#REF!</v>
      </c>
      <c r="O9" s="5"/>
    </row>
    <row r="10" spans="1:15" ht="14" customHeight="1">
      <c r="A10" s="7" t="str">
        <f>+Budget!A29</f>
        <v>Lønninger</v>
      </c>
      <c r="B10" s="12">
        <f>-ROUND(SUMIF(Budget!$N29:$N39,"S",Budget!C29:C39)*Forudsætn.!B$192,0)</f>
        <v>0</v>
      </c>
      <c r="C10" s="12">
        <f>-ROUND(SUMIF(Budget!$N29:$N39,"S",Budget!E29:E39)*Forudsætn.!C$192,0)</f>
        <v>0</v>
      </c>
      <c r="D10" s="12">
        <f>-ROUND(SUMIF(Budget!$N29:$N39,"S",Budget!G29:G39)*Forudsætn.!D$192,0)</f>
        <v>0</v>
      </c>
      <c r="E10" s="12" t="e">
        <f>-ROUND(SUMIF(Budget!$N29:$N39,"S",Budget!#REF!)*Forudsætn.!E$192,0)</f>
        <v>#REF!</v>
      </c>
      <c r="F10" s="12" t="e">
        <f>-ROUND(SUMIF(Budget!$N29:$N39,"S",Budget!#REF!)*Forudsætn.!F$192,0)</f>
        <v>#REF!</v>
      </c>
      <c r="G10" s="12" t="e">
        <f>-ROUND(SUMIF(Budget!$N29:$N39,"S",Budget!#REF!)*Forudsætn.!G$192,0)</f>
        <v>#REF!</v>
      </c>
      <c r="H10" s="12" t="e">
        <f>-ROUND(SUMIF(Budget!$N29:$N39,"S",Budget!#REF!)*Forudsætn.!H$192,0)</f>
        <v>#REF!</v>
      </c>
      <c r="I10" s="12" t="e">
        <f>-ROUND(SUMIF(Budget!$N29:$N39,"S",Budget!#REF!)*Forudsætn.!I$192,0)</f>
        <v>#REF!</v>
      </c>
      <c r="J10" s="12" t="e">
        <f>-ROUND(SUMIF(Budget!$N29:$N39,"S",Budget!#REF!)*Forudsætn.!J$192,0)</f>
        <v>#REF!</v>
      </c>
      <c r="K10" s="12" t="e">
        <f>-ROUND(SUMIF(Budget!$N29:$N39,"S",Budget!#REF!)*Forudsætn.!K$192,0)</f>
        <v>#REF!</v>
      </c>
      <c r="L10" s="12" t="e">
        <f>-ROUND(SUMIF(Budget!$N29:$N39,"S",Budget!#REF!)*Forudsætn.!L$192,0)</f>
        <v>#REF!</v>
      </c>
      <c r="M10" s="12" t="e">
        <f>-ROUND(SUMIF(Budget!$N29:$N39,"S",Budget!#REF!)*Forudsætn.!M$192,0)</f>
        <v>#REF!</v>
      </c>
      <c r="N10" s="23" t="e">
        <f t="shared" si="0"/>
        <v>#REF!</v>
      </c>
      <c r="O10" s="5"/>
    </row>
    <row r="11" spans="1:15" ht="14" customHeight="1">
      <c r="A11" s="7" t="str">
        <f>+Budget!A41</f>
        <v>Legepladser</v>
      </c>
      <c r="B11" s="12">
        <f>-ROUND(SUMIF(Budget!$N41:$N52,"S",Budget!C41:C52)*Forudsætn.!B$192,0)</f>
        <v>0</v>
      </c>
      <c r="C11" s="12">
        <f>-ROUND(SUMIF(Budget!$N41:$N52,"S",Budget!E41:E52)*Forudsætn.!C$192,0)</f>
        <v>0</v>
      </c>
      <c r="D11" s="12">
        <f>-ROUND(SUMIF(Budget!$N41:$N52,"S",Budget!G41:G52)*Forudsætn.!D$192,0)</f>
        <v>0</v>
      </c>
      <c r="E11" s="12" t="e">
        <f>-ROUND(SUMIF(Budget!$N41:$N52,"S",Budget!#REF!)*Forudsætn.!E$192,0)</f>
        <v>#REF!</v>
      </c>
      <c r="F11" s="12" t="e">
        <f>-ROUND(SUMIF(Budget!$N41:$N52,"S",Budget!#REF!)*Forudsætn.!F$192,0)</f>
        <v>#REF!</v>
      </c>
      <c r="G11" s="12" t="e">
        <f>-ROUND(SUMIF(Budget!$N41:$N52,"S",Budget!#REF!)*Forudsætn.!G$192,0)</f>
        <v>#REF!</v>
      </c>
      <c r="H11" s="12" t="e">
        <f>-ROUND(SUMIF(Budget!$N41:$N52,"S",Budget!#REF!)*Forudsætn.!H$192,0)</f>
        <v>#REF!</v>
      </c>
      <c r="I11" s="12" t="e">
        <f>-ROUND(SUMIF(Budget!$N41:$N52,"S",Budget!#REF!)*Forudsætn.!I$192,0)</f>
        <v>#REF!</v>
      </c>
      <c r="J11" s="12" t="e">
        <f>-ROUND(SUMIF(Budget!$N41:$N52,"S",Budget!#REF!)*Forudsætn.!J$192,0)</f>
        <v>#REF!</v>
      </c>
      <c r="K11" s="12" t="e">
        <f>-ROUND(SUMIF(Budget!$N41:$N52,"S",Budget!#REF!)*Forudsætn.!K$192,0)</f>
        <v>#REF!</v>
      </c>
      <c r="L11" s="12" t="e">
        <f>-ROUND(SUMIF(Budget!$N41:$N52,"S",Budget!#REF!)*Forudsætn.!L$192,0)</f>
        <v>#REF!</v>
      </c>
      <c r="M11" s="12" t="e">
        <f>-ROUND(SUMIF(Budget!$N41:$N52,"S",Budget!#REF!)*Forudsætn.!M$192,0)</f>
        <v>#REF!</v>
      </c>
      <c r="N11" s="23" t="e">
        <f t="shared" si="0"/>
        <v>#REF!</v>
      </c>
      <c r="O11" s="5"/>
    </row>
    <row r="12" spans="1:15" ht="14" customHeight="1">
      <c r="A12" s="7" t="str">
        <f>+Budget!A54</f>
        <v>Grønnearealer og veje/stier</v>
      </c>
      <c r="B12" s="12">
        <f>-ROUND(SUMIF(Budget!$N54:$N62,"S",Budget!C54:C62)*Forudsætn.!B$192,0)</f>
        <v>0</v>
      </c>
      <c r="C12" s="12">
        <f>-ROUND(SUMIF(Budget!$N54:$N62,"S",Budget!E54:E62)*Forudsætn.!C$192,0)</f>
        <v>0</v>
      </c>
      <c r="D12" s="12">
        <f>-ROUND(SUMIF(Budget!$N54:$N62,"S",Budget!G54:G62)*Forudsætn.!D$192,0)</f>
        <v>0</v>
      </c>
      <c r="E12" s="12" t="e">
        <f>-ROUND(SUMIF(Budget!$N54:$N62,"S",Budget!#REF!)*Forudsætn.!E$192,0)</f>
        <v>#REF!</v>
      </c>
      <c r="F12" s="12" t="e">
        <f>-ROUND(SUMIF(Budget!$N54:$N62,"S",Budget!#REF!)*Forudsætn.!F$192,0)</f>
        <v>#REF!</v>
      </c>
      <c r="G12" s="12" t="e">
        <f>-ROUND(SUMIF(Budget!$N54:$N62,"S",Budget!#REF!)*Forudsætn.!G$192,0)</f>
        <v>#REF!</v>
      </c>
      <c r="H12" s="12" t="e">
        <f>-ROUND(SUMIF(Budget!$N54:$N62,"S",Budget!#REF!)*Forudsætn.!H$192,0)</f>
        <v>#REF!</v>
      </c>
      <c r="I12" s="12" t="e">
        <f>-ROUND(SUMIF(Budget!$N54:$N62,"S",Budget!#REF!)*Forudsætn.!I$192,0)</f>
        <v>#REF!</v>
      </c>
      <c r="J12" s="12" t="e">
        <f>-ROUND(SUMIF(Budget!$N54:$N62,"S",Budget!#REF!)*Forudsætn.!J$192,0)</f>
        <v>#REF!</v>
      </c>
      <c r="K12" s="12" t="e">
        <f>-ROUND(SUMIF(Budget!$N54:$N62,"S",Budget!#REF!)*Forudsætn.!K$192,0)</f>
        <v>#REF!</v>
      </c>
      <c r="L12" s="12" t="e">
        <f>-ROUND(SUMIF(Budget!$N54:$N62,"S",Budget!#REF!)*Forudsætn.!L$192,0)</f>
        <v>#REF!</v>
      </c>
      <c r="M12" s="12" t="e">
        <f>-ROUND(SUMIF(Budget!$N54:$N62,"S",Budget!#REF!)*Forudsætn.!M$192,0)</f>
        <v>#REF!</v>
      </c>
      <c r="N12" s="23" t="e">
        <f t="shared" si="0"/>
        <v>#REF!</v>
      </c>
      <c r="O12" s="5"/>
    </row>
    <row r="13" spans="1:15" ht="14" customHeight="1">
      <c r="A13" s="7" t="str">
        <f>+Budget!A64</f>
        <v>Autodrift</v>
      </c>
      <c r="B13" s="12">
        <f>-ROUND(SUMIF(Budget!$N64:$N71,"S",Budget!C64:C71)*Forudsætn.!B$192,0)</f>
        <v>0</v>
      </c>
      <c r="C13" s="12">
        <f>-ROUND(SUMIF(Budget!$N64:$N71,"S",Budget!E64:E71)*Forudsætn.!C$192,0)</f>
        <v>0</v>
      </c>
      <c r="D13" s="12">
        <f>-ROUND(SUMIF(Budget!$N64:$N71,"S",Budget!G64:G71)*Forudsætn.!D$192,0)</f>
        <v>0</v>
      </c>
      <c r="E13" s="12" t="e">
        <f>-ROUND(SUMIF(Budget!$N64:$N71,"S",Budget!#REF!)*Forudsætn.!E$192,0)</f>
        <v>#REF!</v>
      </c>
      <c r="F13" s="12" t="e">
        <f>-ROUND(SUMIF(Budget!$N64:$N71,"S",Budget!#REF!)*Forudsætn.!F$192,0)</f>
        <v>#REF!</v>
      </c>
      <c r="G13" s="12" t="e">
        <f>-ROUND(SUMIF(Budget!$N64:$N71,"S",Budget!#REF!)*Forudsætn.!G$192,0)</f>
        <v>#REF!</v>
      </c>
      <c r="H13" s="12" t="e">
        <f>-ROUND(SUMIF(Budget!$N64:$N71,"S",Budget!#REF!)*Forudsætn.!H$192,0)</f>
        <v>#REF!</v>
      </c>
      <c r="I13" s="12" t="e">
        <f>-ROUND(SUMIF(Budget!$N64:$N71,"S",Budget!#REF!)*Forudsætn.!I$192,0)</f>
        <v>#REF!</v>
      </c>
      <c r="J13" s="12" t="e">
        <f>-ROUND(SUMIF(Budget!$N64:$N71,"S",Budget!#REF!)*Forudsætn.!J$192,0)</f>
        <v>#REF!</v>
      </c>
      <c r="K13" s="12" t="e">
        <f>-ROUND(SUMIF(Budget!$N64:$N71,"S",Budget!#REF!)*Forudsætn.!K$192,0)</f>
        <v>#REF!</v>
      </c>
      <c r="L13" s="12" t="e">
        <f>-ROUND(SUMIF(Budget!$N64:$N71,"S",Budget!#REF!)*Forudsætn.!L$192,0)</f>
        <v>#REF!</v>
      </c>
      <c r="M13" s="12" t="e">
        <f>-ROUND(SUMIF(Budget!$N64:$N71,"S",Budget!#REF!)*Forudsætn.!M$192,0)</f>
        <v>#REF!</v>
      </c>
      <c r="N13" s="23" t="e">
        <f t="shared" si="0"/>
        <v>#REF!</v>
      </c>
      <c r="O13" s="5"/>
    </row>
    <row r="14" spans="1:15" ht="14" customHeight="1">
      <c r="A14" s="7" t="str">
        <f>+Budget!A73</f>
        <v>Administrationsomkostninger</v>
      </c>
      <c r="B14" s="12">
        <f>-ROUND(SUMIF(Budget!$N73:$N84,"S",Budget!C73:C84)*Forudsætn.!B$192,0)</f>
        <v>0</v>
      </c>
      <c r="C14" s="12">
        <f>-ROUND(SUMIF(Budget!$N73:$N84,"S",Budget!E73:E84)*Forudsætn.!C$192,0)</f>
        <v>0</v>
      </c>
      <c r="D14" s="12">
        <f>-ROUND(SUMIF(Budget!$N73:$N84,"S",Budget!G73:G84)*Forudsætn.!D$192,0)</f>
        <v>0</v>
      </c>
      <c r="E14" s="12" t="e">
        <f>-ROUND(SUMIF(Budget!$N73:$N84,"S",Budget!#REF!)*Forudsætn.!E$192,0)</f>
        <v>#REF!</v>
      </c>
      <c r="F14" s="12" t="e">
        <f>-ROUND(SUMIF(Budget!$N73:$N84,"S",Budget!#REF!)*Forudsætn.!F$192,0)</f>
        <v>#REF!</v>
      </c>
      <c r="G14" s="12" t="e">
        <f>-ROUND(SUMIF(Budget!$N73:$N84,"S",Budget!#REF!)*Forudsætn.!G$192,0)</f>
        <v>#REF!</v>
      </c>
      <c r="H14" s="12" t="e">
        <f>-ROUND(SUMIF(Budget!$N73:$N84,"S",Budget!#REF!)*Forudsætn.!H$192,0)</f>
        <v>#REF!</v>
      </c>
      <c r="I14" s="12" t="e">
        <f>-ROUND(SUMIF(Budget!$N73:$N84,"S",Budget!#REF!)*Forudsætn.!I$192,0)</f>
        <v>#REF!</v>
      </c>
      <c r="J14" s="12" t="e">
        <f>-ROUND(SUMIF(Budget!$N73:$N84,"S",Budget!#REF!)*Forudsætn.!J$192,0)</f>
        <v>#REF!</v>
      </c>
      <c r="K14" s="12" t="e">
        <f>-ROUND(SUMIF(Budget!$N73:$N84,"S",Budget!#REF!)*Forudsætn.!K$192,0)</f>
        <v>#REF!</v>
      </c>
      <c r="L14" s="12" t="e">
        <f>-ROUND(SUMIF(Budget!$N73:$N84,"S",Budget!#REF!)*Forudsætn.!L$192,0)</f>
        <v>#REF!</v>
      </c>
      <c r="M14" s="12" t="e">
        <f>-ROUND(SUMIF(Budget!$N73:$N84,"S",Budget!#REF!)*Forudsætn.!M$192,0)</f>
        <v>#REF!</v>
      </c>
      <c r="N14" s="23" t="e">
        <f t="shared" si="0"/>
        <v>#REF!</v>
      </c>
      <c r="O14" s="5"/>
    </row>
    <row r="15" spans="1:15" ht="14" customHeight="1">
      <c r="A15" s="7" t="str">
        <f>+Budget!A88</f>
        <v>Afskrivninger</v>
      </c>
      <c r="B15" s="12">
        <f>-ROUND(SUMIF(Budget!$N88:$N96,"S",Budget!C88:C96)*Forudsætn.!B$192,0)</f>
        <v>0</v>
      </c>
      <c r="C15" s="12">
        <f>-ROUND(SUMIF(Budget!$N88:$N96,"S",Budget!E88:E96)*Forudsætn.!C$192,0)</f>
        <v>0</v>
      </c>
      <c r="D15" s="12">
        <f>-ROUND(SUMIF(Budget!$N88:$N96,"S",Budget!G88:G96)*Forudsætn.!D$192,0)</f>
        <v>0</v>
      </c>
      <c r="E15" s="12" t="e">
        <f>-ROUND(SUMIF(Budget!$N88:$N96,"S",Budget!#REF!)*Forudsætn.!E$192,0)</f>
        <v>#REF!</v>
      </c>
      <c r="F15" s="12" t="e">
        <f>-ROUND(SUMIF(Budget!$N88:$N96,"S",Budget!#REF!)*Forudsætn.!F$192,0)</f>
        <v>#REF!</v>
      </c>
      <c r="G15" s="12" t="e">
        <f>-ROUND(SUMIF(Budget!$N88:$N96,"S",Budget!#REF!)*Forudsætn.!G$192,0)</f>
        <v>#REF!</v>
      </c>
      <c r="H15" s="12" t="e">
        <f>-ROUND(SUMIF(Budget!$N88:$N96,"S",Budget!#REF!)*Forudsætn.!H$192,0)</f>
        <v>#REF!</v>
      </c>
      <c r="I15" s="12" t="e">
        <f>-ROUND(SUMIF(Budget!$N88:$N96,"S",Budget!#REF!)*Forudsætn.!I$192,0)</f>
        <v>#REF!</v>
      </c>
      <c r="J15" s="12" t="e">
        <f>-ROUND(SUMIF(Budget!$N88:$N96,"S",Budget!#REF!)*Forudsætn.!J$192,0)</f>
        <v>#REF!</v>
      </c>
      <c r="K15" s="12" t="e">
        <f>-ROUND(SUMIF(Budget!$N88:$N96,"S",Budget!#REF!)*Forudsætn.!K$192,0)</f>
        <v>#REF!</v>
      </c>
      <c r="L15" s="12" t="e">
        <f>-ROUND(SUMIF(Budget!$N88:$N96,"S",Budget!#REF!)*Forudsætn.!L$192,0)</f>
        <v>#REF!</v>
      </c>
      <c r="M15" s="12" t="e">
        <f>-ROUND(SUMIF(Budget!$N88:$N96,"S",Budget!#REF!)*Forudsætn.!M$192,0)</f>
        <v>#REF!</v>
      </c>
      <c r="N15" s="23" t="e">
        <f t="shared" si="0"/>
        <v>#REF!</v>
      </c>
      <c r="O15" s="5"/>
    </row>
    <row r="16" spans="1:15" ht="14" customHeight="1">
      <c r="A16" s="7" t="str">
        <f>+Budget!A98</f>
        <v>Renteindtægter</v>
      </c>
      <c r="B16" s="12">
        <f>-ROUND(SUMIF(Budget!$N98:$N102,"S",Budget!C98:C102)*Forudsætn.!B$192,0)</f>
        <v>0</v>
      </c>
      <c r="C16" s="12">
        <f>-ROUND(SUMIF(Budget!$N98:$N102,"S",Budget!E98:E102)*Forudsætn.!C$192,0)</f>
        <v>0</v>
      </c>
      <c r="D16" s="12">
        <f>-ROUND(SUMIF(Budget!$N98:$N102,"S",Budget!G98:G102)*Forudsætn.!D$192,0)</f>
        <v>0</v>
      </c>
      <c r="E16" s="12" t="e">
        <f>-ROUND(SUMIF(Budget!$N98:$N102,"S",Budget!#REF!)*Forudsætn.!E$192,0)</f>
        <v>#REF!</v>
      </c>
      <c r="F16" s="12" t="e">
        <f>-ROUND(SUMIF(Budget!$N98:$N102,"S",Budget!#REF!)*Forudsætn.!F$192,0)</f>
        <v>#REF!</v>
      </c>
      <c r="G16" s="12" t="e">
        <f>-ROUND(SUMIF(Budget!$N98:$N102,"S",Budget!#REF!)*Forudsætn.!G$192,0)</f>
        <v>#REF!</v>
      </c>
      <c r="H16" s="12" t="e">
        <f>-ROUND(SUMIF(Budget!$N98:$N102,"S",Budget!#REF!)*Forudsætn.!H$192,0)</f>
        <v>#REF!</v>
      </c>
      <c r="I16" s="12" t="e">
        <f>-ROUND(SUMIF(Budget!$N98:$N102,"S",Budget!#REF!)*Forudsætn.!I$192,0)</f>
        <v>#REF!</v>
      </c>
      <c r="J16" s="12" t="e">
        <f>-ROUND(SUMIF(Budget!$N98:$N102,"S",Budget!#REF!)*Forudsætn.!J$192,0)</f>
        <v>#REF!</v>
      </c>
      <c r="K16" s="12" t="e">
        <f>-ROUND(SUMIF(Budget!$N98:$N102,"S",Budget!#REF!)*Forudsætn.!K$192,0)</f>
        <v>#REF!</v>
      </c>
      <c r="L16" s="12" t="e">
        <f>-ROUND(SUMIF(Budget!$N98:$N102,"S",Budget!#REF!)*Forudsætn.!L$192,0)</f>
        <v>#REF!</v>
      </c>
      <c r="M16" s="12" t="e">
        <f>-ROUND(SUMIF(Budget!$N98:$N102,"S",Budget!#REF!)*Forudsætn.!M$192,0)</f>
        <v>#REF!</v>
      </c>
      <c r="N16" s="23" t="e">
        <f t="shared" si="0"/>
        <v>#REF!</v>
      </c>
      <c r="O16" s="5"/>
    </row>
    <row r="17" spans="1:15" ht="14" customHeight="1">
      <c r="A17" s="7" t="str">
        <f>+Budget!A104</f>
        <v>Renteudgifter</v>
      </c>
      <c r="B17" s="12">
        <f>-ROUND(SUMIF(Budget!$N104:$N113,"S",Budget!C104:C113)*Forudsætn.!B$192,0)</f>
        <v>0</v>
      </c>
      <c r="C17" s="12">
        <f>-ROUND(SUMIF(Budget!$N104:$N113,"S",Budget!E104:E113)*Forudsætn.!C$192,0)</f>
        <v>0</v>
      </c>
      <c r="D17" s="12">
        <f>-ROUND(SUMIF(Budget!$N104:$N113,"S",Budget!G104:G113)*Forudsætn.!D$192,0)</f>
        <v>0</v>
      </c>
      <c r="E17" s="12" t="e">
        <f>-ROUND(SUMIF(Budget!$N104:$N113,"S",Budget!#REF!)*Forudsætn.!E$192,0)</f>
        <v>#REF!</v>
      </c>
      <c r="F17" s="12" t="e">
        <f>-ROUND(SUMIF(Budget!$N104:$N113,"S",Budget!#REF!)*Forudsætn.!F$192,0)</f>
        <v>#REF!</v>
      </c>
      <c r="G17" s="12" t="e">
        <f>-ROUND(SUMIF(Budget!$N104:$N113,"S",Budget!#REF!)*Forudsætn.!G$192,0)</f>
        <v>#REF!</v>
      </c>
      <c r="H17" s="12" t="e">
        <f>-ROUND(SUMIF(Budget!$N104:$N113,"S",Budget!#REF!)*Forudsætn.!H$192,0)</f>
        <v>#REF!</v>
      </c>
      <c r="I17" s="12" t="e">
        <f>-ROUND(SUMIF(Budget!$N104:$N113,"S",Budget!#REF!)*Forudsætn.!I$192,0)</f>
        <v>#REF!</v>
      </c>
      <c r="J17" s="12" t="e">
        <f>-ROUND(SUMIF(Budget!$N104:$N113,"S",Budget!#REF!)*Forudsætn.!J$192,0)</f>
        <v>#REF!</v>
      </c>
      <c r="K17" s="12" t="e">
        <f>-ROUND(SUMIF(Budget!$N104:$N113,"S",Budget!#REF!)*Forudsætn.!K$192,0)</f>
        <v>#REF!</v>
      </c>
      <c r="L17" s="12" t="e">
        <f>-ROUND(SUMIF(Budget!$N104:$N113,"S",Budget!#REF!)*Forudsætn.!L$192,0)</f>
        <v>#REF!</v>
      </c>
      <c r="M17" s="12" t="e">
        <f>-ROUND(SUMIF(Budget!$N104:$N113,"S",Budget!#REF!)*Forudsætn.!M$192,0)</f>
        <v>#REF!</v>
      </c>
      <c r="N17" s="23" t="e">
        <f t="shared" si="0"/>
        <v>#REF!</v>
      </c>
      <c r="O17" s="5"/>
    </row>
    <row r="18" spans="1:15" s="23" customFormat="1" ht="13">
      <c r="A18" s="23" t="s">
        <v>181</v>
      </c>
      <c r="B18" s="12">
        <f>ROUND(SUMIF(Forudsætn.!$O22:$O111,"S",Forudsætn.!B22:B111)*Forudsætn.!B$192,0)</f>
        <v>0</v>
      </c>
      <c r="C18" s="12">
        <f>ROUND(SUMIF(Forudsætn.!$O22:$O111,"S",Forudsætn.!C22:C111)*Forudsætn.!C$192,0)</f>
        <v>0</v>
      </c>
      <c r="D18" s="12">
        <f>ROUND(SUMIF(Forudsætn.!$O22:$O111,"S",Forudsætn.!D22:D111)*Forudsætn.!D$192,0)</f>
        <v>0</v>
      </c>
      <c r="E18" s="12">
        <f>ROUND(SUMIF(Forudsætn.!$O22:$O111,"S",Forudsætn.!E22:E111)*Forudsætn.!E$192,0)</f>
        <v>0</v>
      </c>
      <c r="F18" s="12">
        <f>ROUND(SUMIF(Forudsætn.!$O22:$O111,"S",Forudsætn.!F22:F111)*Forudsætn.!F$192,0)</f>
        <v>0</v>
      </c>
      <c r="G18" s="12">
        <f>ROUND(SUMIF(Forudsætn.!$O22:$O111,"S",Forudsætn.!G22:G111)*Forudsætn.!G$192,0)</f>
        <v>0</v>
      </c>
      <c r="H18" s="12">
        <f>ROUND(SUMIF(Forudsætn.!$O22:$O111,"S",Forudsætn.!H22:H111)*Forudsætn.!H$192,0)</f>
        <v>0</v>
      </c>
      <c r="I18" s="12">
        <f>ROUND(SUMIF(Forudsætn.!$O22:$O111,"S",Forudsætn.!I22:I111)*Forudsætn.!I$192,0)</f>
        <v>0</v>
      </c>
      <c r="J18" s="12">
        <f>ROUND(SUMIF(Forudsætn.!$O22:$O111,"S",Forudsætn.!J22:J111)*Forudsætn.!J$192,0)</f>
        <v>0</v>
      </c>
      <c r="K18" s="12">
        <f>ROUND(SUMIF(Forudsætn.!$O22:$O111,"S",Forudsætn.!K22:K111)*Forudsætn.!K$192,0)</f>
        <v>0</v>
      </c>
      <c r="L18" s="12">
        <f>ROUND(SUMIF(Forudsætn.!$O22:$O111,"S",Forudsætn.!L22:L111)*Forudsætn.!L$192,0)</f>
        <v>0</v>
      </c>
      <c r="M18" s="12">
        <f>ROUND(SUMIF(Forudsætn.!$O22:$O111,"S",Forudsætn.!M22:M111)*Forudsætn.!M$192,0)</f>
        <v>0</v>
      </c>
      <c r="N18" s="23">
        <f>ROUND(SUM(B18:M18),0)</f>
        <v>0</v>
      </c>
      <c r="O18" s="26"/>
    </row>
    <row r="19" spans="1:15" s="23" customFormat="1" ht="13">
      <c r="A19" s="23" t="s">
        <v>182</v>
      </c>
      <c r="B19" s="171">
        <v>0</v>
      </c>
      <c r="C19" s="171">
        <v>0</v>
      </c>
      <c r="D19" s="171">
        <v>0</v>
      </c>
      <c r="E19" s="171">
        <v>0</v>
      </c>
      <c r="F19" s="171">
        <v>0</v>
      </c>
      <c r="G19" s="171">
        <v>0</v>
      </c>
      <c r="H19" s="171">
        <v>0</v>
      </c>
      <c r="I19" s="171">
        <v>0</v>
      </c>
      <c r="J19" s="171">
        <v>0</v>
      </c>
      <c r="K19" s="171">
        <v>0</v>
      </c>
      <c r="L19" s="171">
        <v>0</v>
      </c>
      <c r="M19" s="171">
        <v>0</v>
      </c>
      <c r="N19" s="23">
        <f>ROUND(SUM(B19:M19),0)</f>
        <v>0</v>
      </c>
      <c r="O19" s="26"/>
    </row>
    <row r="20" spans="1:15" ht="14" customHeight="1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5" s="31" customFormat="1" ht="14" customHeight="1">
      <c r="B21" s="136">
        <f>ROUND(SUM(B8:B20),0)</f>
        <v>0</v>
      </c>
      <c r="C21" s="136">
        <f t="shared" ref="C21:N21" si="1">ROUND(SUM(C8:C20),0)</f>
        <v>0</v>
      </c>
      <c r="D21" s="136">
        <f t="shared" si="1"/>
        <v>0</v>
      </c>
      <c r="E21" s="136" t="e">
        <f t="shared" si="1"/>
        <v>#REF!</v>
      </c>
      <c r="F21" s="136" t="e">
        <f t="shared" si="1"/>
        <v>#REF!</v>
      </c>
      <c r="G21" s="136" t="e">
        <f t="shared" si="1"/>
        <v>#REF!</v>
      </c>
      <c r="H21" s="136" t="e">
        <f t="shared" si="1"/>
        <v>#REF!</v>
      </c>
      <c r="I21" s="136" t="e">
        <f t="shared" si="1"/>
        <v>#REF!</v>
      </c>
      <c r="J21" s="136" t="e">
        <f t="shared" si="1"/>
        <v>#REF!</v>
      </c>
      <c r="K21" s="136" t="e">
        <f t="shared" si="1"/>
        <v>#REF!</v>
      </c>
      <c r="L21" s="136" t="e">
        <f t="shared" si="1"/>
        <v>#REF!</v>
      </c>
      <c r="M21" s="136" t="e">
        <f t="shared" si="1"/>
        <v>#REF!</v>
      </c>
      <c r="N21" s="136" t="e">
        <f t="shared" si="1"/>
        <v>#REF!</v>
      </c>
      <c r="O21" s="32"/>
    </row>
    <row r="22" spans="1:15" ht="14" customHeight="1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5" ht="14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5" s="24" customFormat="1" ht="14" customHeight="1">
      <c r="A24" s="24" t="s">
        <v>166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14" customHeight="1">
      <c r="A25" s="2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5"/>
    </row>
    <row r="26" spans="1:15" ht="14" customHeight="1">
      <c r="A26" s="7">
        <f>+Budget!A6</f>
        <v>0</v>
      </c>
      <c r="B26" s="12">
        <f>ROUND(SUMIF(Budget!$N6:$N16,"K",Budget!C6:C16)*Forudsætn.!B$192,0)</f>
        <v>0</v>
      </c>
      <c r="C26" s="12">
        <f>ROUND(SUMIF(Budget!$N6:$N16,"K",Budget!E6:E16)*Forudsætn.!C$192,0)</f>
        <v>0</v>
      </c>
      <c r="D26" s="12">
        <f>ROUND(SUMIF(Budget!$N6:$N16,"K",Budget!G6:G16)*Forudsætn.!D$192,0)</f>
        <v>0</v>
      </c>
      <c r="E26" s="12" t="e">
        <f>ROUND(SUMIF(Budget!$N6:$N16,"K",Budget!#REF!)*Forudsætn.!E$192,0)</f>
        <v>#REF!</v>
      </c>
      <c r="F26" s="12" t="e">
        <f>ROUND(SUMIF(Budget!$N6:$N16,"K",Budget!#REF!)*Forudsætn.!F$192,0)</f>
        <v>#REF!</v>
      </c>
      <c r="G26" s="12" t="e">
        <f>ROUND(SUMIF(Budget!$N6:$N16,"K",Budget!#REF!)*Forudsætn.!G$192,0)</f>
        <v>#REF!</v>
      </c>
      <c r="H26" s="12" t="e">
        <f>ROUND(SUMIF(Budget!$N6:$N16,"K",Budget!#REF!)*Forudsætn.!H$192,0)</f>
        <v>#REF!</v>
      </c>
      <c r="I26" s="12" t="e">
        <f>ROUND(SUMIF(Budget!$N6:$N16,"K",Budget!#REF!)*Forudsætn.!I$192,0)</f>
        <v>#REF!</v>
      </c>
      <c r="J26" s="12" t="e">
        <f>ROUND(SUMIF(Budget!$N6:$N16,"K",Budget!#REF!)*Forudsætn.!J$192,0)</f>
        <v>#REF!</v>
      </c>
      <c r="K26" s="12" t="e">
        <f>ROUND(SUMIF(Budget!$N6:$N16,"K",Budget!#REF!)*Forudsætn.!K$192,0)</f>
        <v>#REF!</v>
      </c>
      <c r="L26" s="12" t="e">
        <f>ROUND(SUMIF(Budget!$N6:$N16,"K",Budget!#REF!)*Forudsætn.!L$192,0)</f>
        <v>#REF!</v>
      </c>
      <c r="M26" s="12" t="e">
        <f>ROUND(SUMIF(Budget!$N6:$N16,"K",Budget!#REF!)*Forudsætn.!M$192,0)</f>
        <v>#REF!</v>
      </c>
      <c r="N26" s="23" t="e">
        <f t="shared" ref="N26:N35" si="2">ROUND(SUM(B26:M26),0)</f>
        <v>#REF!</v>
      </c>
      <c r="O26" s="5"/>
    </row>
    <row r="27" spans="1:15" ht="14" customHeight="1">
      <c r="A27" s="7">
        <f>+Budget!A19</f>
        <v>0</v>
      </c>
      <c r="B27" s="12">
        <f>ROUND(SUMIF(Budget!$N19:$N27,"K",Budget!C19:C27)*Forudsætn.!B$192,0)</f>
        <v>0</v>
      </c>
      <c r="C27" s="12">
        <f>ROUND(SUMIF(Budget!$N19:$N27,"K",Budget!E19:E27)*Forudsætn.!C$192,0)</f>
        <v>0</v>
      </c>
      <c r="D27" s="12">
        <f>ROUND(SUMIF(Budget!$N19:$N27,"K",Budget!G19:G27)*Forudsætn.!D$192,0)</f>
        <v>0</v>
      </c>
      <c r="E27" s="12" t="e">
        <f>ROUND(SUMIF(Budget!$N19:$N27,"K",Budget!#REF!)*Forudsætn.!E$192,0)</f>
        <v>#REF!</v>
      </c>
      <c r="F27" s="12" t="e">
        <f>ROUND(SUMIF(Budget!$N19:$N27,"K",Budget!#REF!)*Forudsætn.!F$192,0)</f>
        <v>#REF!</v>
      </c>
      <c r="G27" s="12" t="e">
        <f>ROUND(SUMIF(Budget!$N19:$N27,"K",Budget!#REF!)*Forudsætn.!G$192,0)</f>
        <v>#REF!</v>
      </c>
      <c r="H27" s="12" t="e">
        <f>ROUND(SUMIF(Budget!$N19:$N27,"K",Budget!#REF!)*Forudsætn.!H$192,0)</f>
        <v>#REF!</v>
      </c>
      <c r="I27" s="12" t="e">
        <f>ROUND(SUMIF(Budget!$N19:$N27,"K",Budget!#REF!)*Forudsætn.!I$192,0)</f>
        <v>#REF!</v>
      </c>
      <c r="J27" s="12" t="e">
        <f>ROUND(SUMIF(Budget!$N19:$N27,"K",Budget!#REF!)*Forudsætn.!J$192,0)</f>
        <v>#REF!</v>
      </c>
      <c r="K27" s="12" t="e">
        <f>ROUND(SUMIF(Budget!$N19:$N27,"K",Budget!#REF!)*Forudsætn.!K$192,0)</f>
        <v>#REF!</v>
      </c>
      <c r="L27" s="12" t="e">
        <f>ROUND(SUMIF(Budget!$N19:$N27,"K",Budget!#REF!)*Forudsætn.!L$192,0)</f>
        <v>#REF!</v>
      </c>
      <c r="M27" s="12" t="e">
        <f>ROUND(SUMIF(Budget!$N19:$N27,"K",Budget!#REF!)*Forudsætn.!M$192,0)</f>
        <v>#REF!</v>
      </c>
      <c r="N27" s="23" t="e">
        <f t="shared" si="2"/>
        <v>#REF!</v>
      </c>
      <c r="O27" s="5"/>
    </row>
    <row r="28" spans="1:15" ht="14" customHeight="1">
      <c r="A28" s="7" t="str">
        <f>+Budget!A29</f>
        <v>Lønninger</v>
      </c>
      <c r="B28" s="12">
        <f>ROUND(SUMIF(Budget!$N29:$N39,"K",Budget!C29:C39)*Forudsætn.!B$192,0)</f>
        <v>0</v>
      </c>
      <c r="C28" s="12">
        <f>ROUND(SUMIF(Budget!$N29:$N39,"K",Budget!E29:E39)*Forudsætn.!C$192,0)</f>
        <v>0</v>
      </c>
      <c r="D28" s="12">
        <f>ROUND(SUMIF(Budget!$N29:$N39,"K",Budget!G29:G39)*Forudsætn.!D$192,0)</f>
        <v>0</v>
      </c>
      <c r="E28" s="12" t="e">
        <f>ROUND(SUMIF(Budget!$N29:$N39,"K",Budget!#REF!)*Forudsætn.!E$192,0)</f>
        <v>#REF!</v>
      </c>
      <c r="F28" s="12" t="e">
        <f>ROUND(SUMIF(Budget!$N29:$N39,"K",Budget!#REF!)*Forudsætn.!F$192,0)</f>
        <v>#REF!</v>
      </c>
      <c r="G28" s="12" t="e">
        <f>ROUND(SUMIF(Budget!$N29:$N39,"K",Budget!#REF!)*Forudsætn.!G$192,0)</f>
        <v>#REF!</v>
      </c>
      <c r="H28" s="12" t="e">
        <f>ROUND(SUMIF(Budget!$N29:$N39,"K",Budget!#REF!)*Forudsætn.!H$192,0)</f>
        <v>#REF!</v>
      </c>
      <c r="I28" s="12" t="e">
        <f>ROUND(SUMIF(Budget!$N29:$N39,"K",Budget!#REF!)*Forudsætn.!I$192,0)</f>
        <v>#REF!</v>
      </c>
      <c r="J28" s="12" t="e">
        <f>ROUND(SUMIF(Budget!$N29:$N39,"K",Budget!#REF!)*Forudsætn.!J$192,0)</f>
        <v>#REF!</v>
      </c>
      <c r="K28" s="12" t="e">
        <f>ROUND(SUMIF(Budget!$N29:$N39,"K",Budget!#REF!)*Forudsætn.!K$192,0)</f>
        <v>#REF!</v>
      </c>
      <c r="L28" s="12" t="e">
        <f>ROUND(SUMIF(Budget!$N29:$N39,"K",Budget!#REF!)*Forudsætn.!L$192,0)</f>
        <v>#REF!</v>
      </c>
      <c r="M28" s="12" t="e">
        <f>ROUND(SUMIF(Budget!$N29:$N39,"K",Budget!#REF!)*Forudsætn.!M$192,0)</f>
        <v>#REF!</v>
      </c>
      <c r="N28" s="23" t="e">
        <f t="shared" si="2"/>
        <v>#REF!</v>
      </c>
      <c r="O28" s="5"/>
    </row>
    <row r="29" spans="1:15" ht="14" customHeight="1">
      <c r="A29" s="7" t="str">
        <f>+Budget!A41</f>
        <v>Legepladser</v>
      </c>
      <c r="B29" s="12">
        <f>ROUND(SUMIF(Budget!$N41:$N52,"K",Budget!C41:C52)*Forudsætn.!B$192,0)</f>
        <v>0</v>
      </c>
      <c r="C29" s="12">
        <f>ROUND(SUMIF(Budget!$N41:$N52,"K",Budget!E41:E52)*Forudsætn.!C$192,0)</f>
        <v>0</v>
      </c>
      <c r="D29" s="12">
        <f>ROUND(SUMIF(Budget!$N41:$N52,"K",Budget!G41:G52)*Forudsætn.!D$192,0)</f>
        <v>0</v>
      </c>
      <c r="E29" s="12" t="e">
        <f>ROUND(SUMIF(Budget!$N41:$N52,"K",Budget!#REF!)*Forudsætn.!E$192,0)</f>
        <v>#REF!</v>
      </c>
      <c r="F29" s="12" t="e">
        <f>ROUND(SUMIF(Budget!$N41:$N52,"K",Budget!#REF!)*Forudsætn.!F$192,0)</f>
        <v>#REF!</v>
      </c>
      <c r="G29" s="12" t="e">
        <f>ROUND(SUMIF(Budget!$N41:$N52,"K",Budget!#REF!)*Forudsætn.!G$192,0)</f>
        <v>#REF!</v>
      </c>
      <c r="H29" s="12" t="e">
        <f>ROUND(SUMIF(Budget!$N41:$N52,"K",Budget!#REF!)*Forudsætn.!H$192,0)</f>
        <v>#REF!</v>
      </c>
      <c r="I29" s="12" t="e">
        <f>ROUND(SUMIF(Budget!$N41:$N52,"K",Budget!#REF!)*Forudsætn.!I$192,0)</f>
        <v>#REF!</v>
      </c>
      <c r="J29" s="12" t="e">
        <f>ROUND(SUMIF(Budget!$N41:$N52,"K",Budget!#REF!)*Forudsætn.!J$192,0)</f>
        <v>#REF!</v>
      </c>
      <c r="K29" s="12" t="e">
        <f>ROUND(SUMIF(Budget!$N41:$N52,"K",Budget!#REF!)*Forudsætn.!K$192,0)</f>
        <v>#REF!</v>
      </c>
      <c r="L29" s="12" t="e">
        <f>ROUND(SUMIF(Budget!$N41:$N52,"K",Budget!#REF!)*Forudsætn.!L$192,0)</f>
        <v>#REF!</v>
      </c>
      <c r="M29" s="12" t="e">
        <f>ROUND(SUMIF(Budget!$N41:$N52,"K",Budget!#REF!)*Forudsætn.!M$192,0)</f>
        <v>#REF!</v>
      </c>
      <c r="N29" s="23" t="e">
        <f t="shared" si="2"/>
        <v>#REF!</v>
      </c>
      <c r="O29" s="5"/>
    </row>
    <row r="30" spans="1:15" ht="14" customHeight="1">
      <c r="A30" s="7" t="str">
        <f>+Budget!A54</f>
        <v>Grønnearealer og veje/stier</v>
      </c>
      <c r="B30" s="12">
        <f>ROUND(SUMIF(Budget!$N54:$N62,"K",Budget!C54:C62)*Forudsætn.!B$192,0)</f>
        <v>0</v>
      </c>
      <c r="C30" s="12">
        <f>ROUND(SUMIF(Budget!$N54:$N62,"K",Budget!E54:E62)*Forudsætn.!C$192,0)</f>
        <v>0</v>
      </c>
      <c r="D30" s="12">
        <f>ROUND(SUMIF(Budget!$N54:$N62,"K",Budget!G54:G62)*Forudsætn.!D$192,0)</f>
        <v>0</v>
      </c>
      <c r="E30" s="12" t="e">
        <f>ROUND(SUMIF(Budget!$N54:$N62,"K",Budget!#REF!)*Forudsætn.!E$192,0)</f>
        <v>#REF!</v>
      </c>
      <c r="F30" s="12" t="e">
        <f>ROUND(SUMIF(Budget!$N54:$N62,"K",Budget!#REF!)*Forudsætn.!F$192,0)</f>
        <v>#REF!</v>
      </c>
      <c r="G30" s="12" t="e">
        <f>ROUND(SUMIF(Budget!$N54:$N62,"K",Budget!#REF!)*Forudsætn.!G$192,0)</f>
        <v>#REF!</v>
      </c>
      <c r="H30" s="12" t="e">
        <f>ROUND(SUMIF(Budget!$N54:$N62,"K",Budget!#REF!)*Forudsætn.!H$192,0)</f>
        <v>#REF!</v>
      </c>
      <c r="I30" s="12" t="e">
        <f>ROUND(SUMIF(Budget!$N54:$N62,"K",Budget!#REF!)*Forudsætn.!I$192,0)</f>
        <v>#REF!</v>
      </c>
      <c r="J30" s="12" t="e">
        <f>ROUND(SUMIF(Budget!$N54:$N62,"K",Budget!#REF!)*Forudsætn.!J$192,0)</f>
        <v>#REF!</v>
      </c>
      <c r="K30" s="12" t="e">
        <f>ROUND(SUMIF(Budget!$N54:$N62,"K",Budget!#REF!)*Forudsætn.!K$192,0)</f>
        <v>#REF!</v>
      </c>
      <c r="L30" s="12" t="e">
        <f>ROUND(SUMIF(Budget!$N54:$N62,"K",Budget!#REF!)*Forudsætn.!L$192,0)</f>
        <v>#REF!</v>
      </c>
      <c r="M30" s="12" t="e">
        <f>ROUND(SUMIF(Budget!$N54:$N62,"K",Budget!#REF!)*Forudsætn.!M$192,0)</f>
        <v>#REF!</v>
      </c>
      <c r="N30" s="23" t="e">
        <f t="shared" si="2"/>
        <v>#REF!</v>
      </c>
      <c r="O30" s="5"/>
    </row>
    <row r="31" spans="1:15" ht="14" customHeight="1">
      <c r="A31" s="7" t="str">
        <f>+Budget!A64</f>
        <v>Autodrift</v>
      </c>
      <c r="B31" s="12">
        <f>ROUND(SUMIF(Budget!$N64:$N71,"K",Budget!C64:C71)*Forudsætn.!B$192,0)</f>
        <v>0</v>
      </c>
      <c r="C31" s="12">
        <f>ROUND(SUMIF(Budget!$N64:$N71,"K",Budget!E64:E71)*Forudsætn.!C$192,0)</f>
        <v>0</v>
      </c>
      <c r="D31" s="12">
        <f>ROUND(SUMIF(Budget!$N64:$N71,"K",Budget!G64:G71)*Forudsætn.!D$192,0)</f>
        <v>0</v>
      </c>
      <c r="E31" s="12" t="e">
        <f>ROUND(SUMIF(Budget!$N64:$N71,"K",Budget!#REF!)*Forudsætn.!E$192,0)</f>
        <v>#REF!</v>
      </c>
      <c r="F31" s="12" t="e">
        <f>ROUND(SUMIF(Budget!$N64:$N71,"K",Budget!#REF!)*Forudsætn.!F$192,0)</f>
        <v>#REF!</v>
      </c>
      <c r="G31" s="12" t="e">
        <f>ROUND(SUMIF(Budget!$N64:$N71,"K",Budget!#REF!)*Forudsætn.!G$192,0)</f>
        <v>#REF!</v>
      </c>
      <c r="H31" s="12" t="e">
        <f>ROUND(SUMIF(Budget!$N64:$N71,"K",Budget!#REF!)*Forudsætn.!H$192,0)</f>
        <v>#REF!</v>
      </c>
      <c r="I31" s="12" t="e">
        <f>ROUND(SUMIF(Budget!$N64:$N71,"K",Budget!#REF!)*Forudsætn.!I$192,0)</f>
        <v>#REF!</v>
      </c>
      <c r="J31" s="12" t="e">
        <f>ROUND(SUMIF(Budget!$N64:$N71,"K",Budget!#REF!)*Forudsætn.!J$192,0)</f>
        <v>#REF!</v>
      </c>
      <c r="K31" s="12" t="e">
        <f>ROUND(SUMIF(Budget!$N64:$N71,"K",Budget!#REF!)*Forudsætn.!K$192,0)</f>
        <v>#REF!</v>
      </c>
      <c r="L31" s="12" t="e">
        <f>ROUND(SUMIF(Budget!$N64:$N71,"K",Budget!#REF!)*Forudsætn.!L$192,0)</f>
        <v>#REF!</v>
      </c>
      <c r="M31" s="12" t="e">
        <f>ROUND(SUMIF(Budget!$N64:$N71,"K",Budget!#REF!)*Forudsætn.!M$192,0)</f>
        <v>#REF!</v>
      </c>
      <c r="N31" s="23" t="e">
        <f t="shared" si="2"/>
        <v>#REF!</v>
      </c>
      <c r="O31" s="5"/>
    </row>
    <row r="32" spans="1:15" ht="14" customHeight="1">
      <c r="A32" s="7" t="str">
        <f>+Budget!A73</f>
        <v>Administrationsomkostninger</v>
      </c>
      <c r="B32" s="12">
        <f>ROUND(SUMIF(Budget!$N73:$N84,"K",Budget!C73:C84)*Forudsætn.!B$192,0)</f>
        <v>0</v>
      </c>
      <c r="C32" s="12">
        <f>ROUND(SUMIF(Budget!$N73:$N84,"K",Budget!E73:E84)*Forudsætn.!C$192,0)</f>
        <v>0</v>
      </c>
      <c r="D32" s="12">
        <f>ROUND(SUMIF(Budget!$N73:$N84,"K",Budget!G73:G84)*Forudsætn.!D$192,0)</f>
        <v>0</v>
      </c>
      <c r="E32" s="12" t="e">
        <f>ROUND(SUMIF(Budget!$N73:$N84,"K",Budget!#REF!)*Forudsætn.!E$192,0)</f>
        <v>#REF!</v>
      </c>
      <c r="F32" s="12" t="e">
        <f>ROUND(SUMIF(Budget!$N73:$N84,"K",Budget!#REF!)*Forudsætn.!F$192,0)</f>
        <v>#REF!</v>
      </c>
      <c r="G32" s="12" t="e">
        <f>ROUND(SUMIF(Budget!$N73:$N84,"K",Budget!#REF!)*Forudsætn.!G$192,0)</f>
        <v>#REF!</v>
      </c>
      <c r="H32" s="12" t="e">
        <f>ROUND(SUMIF(Budget!$N73:$N84,"K",Budget!#REF!)*Forudsætn.!H$192,0)</f>
        <v>#REF!</v>
      </c>
      <c r="I32" s="12" t="e">
        <f>ROUND(SUMIF(Budget!$N73:$N84,"K",Budget!#REF!)*Forudsætn.!I$192,0)</f>
        <v>#REF!</v>
      </c>
      <c r="J32" s="12" t="e">
        <f>ROUND(SUMIF(Budget!$N73:$N84,"K",Budget!#REF!)*Forudsætn.!J$192,0)</f>
        <v>#REF!</v>
      </c>
      <c r="K32" s="12" t="e">
        <f>ROUND(SUMIF(Budget!$N73:$N84,"K",Budget!#REF!)*Forudsætn.!K$192,0)</f>
        <v>#REF!</v>
      </c>
      <c r="L32" s="12" t="e">
        <f>ROUND(SUMIF(Budget!$N73:$N84,"K",Budget!#REF!)*Forudsætn.!L$192,0)</f>
        <v>#REF!</v>
      </c>
      <c r="M32" s="12" t="e">
        <f>ROUND(SUMIF(Budget!$N73:$N84,"K",Budget!#REF!)*Forudsætn.!M$192,0)</f>
        <v>#REF!</v>
      </c>
      <c r="N32" s="23" t="e">
        <f t="shared" si="2"/>
        <v>#REF!</v>
      </c>
      <c r="O32" s="5"/>
    </row>
    <row r="33" spans="1:15" ht="14" customHeight="1">
      <c r="A33" s="7" t="str">
        <f>+Budget!A88</f>
        <v>Afskrivninger</v>
      </c>
      <c r="B33" s="12">
        <f>ROUND(SUMIF(Budget!$N88:$N96,"K",Budget!C88:C96)*Forudsætn.!B$192,0)</f>
        <v>0</v>
      </c>
      <c r="C33" s="12">
        <f>ROUND(SUMIF(Budget!$N88:$N96,"K",Budget!E88:E96)*Forudsætn.!C$192,0)</f>
        <v>0</v>
      </c>
      <c r="D33" s="12">
        <f>ROUND(SUMIF(Budget!$N88:$N96,"K",Budget!G88:G96)*Forudsætn.!D$192,0)</f>
        <v>0</v>
      </c>
      <c r="E33" s="12" t="e">
        <f>ROUND(SUMIF(Budget!$N88:$N96,"K",Budget!#REF!)*Forudsætn.!E$192,0)</f>
        <v>#REF!</v>
      </c>
      <c r="F33" s="12" t="e">
        <f>ROUND(SUMIF(Budget!$N88:$N96,"K",Budget!#REF!)*Forudsætn.!F$192,0)</f>
        <v>#REF!</v>
      </c>
      <c r="G33" s="12" t="e">
        <f>ROUND(SUMIF(Budget!$N88:$N96,"K",Budget!#REF!)*Forudsætn.!G$192,0)</f>
        <v>#REF!</v>
      </c>
      <c r="H33" s="12" t="e">
        <f>ROUND(SUMIF(Budget!$N88:$N96,"K",Budget!#REF!)*Forudsætn.!H$192,0)</f>
        <v>#REF!</v>
      </c>
      <c r="I33" s="12" t="e">
        <f>ROUND(SUMIF(Budget!$N88:$N96,"K",Budget!#REF!)*Forudsætn.!I$192,0)</f>
        <v>#REF!</v>
      </c>
      <c r="J33" s="12" t="e">
        <f>ROUND(SUMIF(Budget!$N88:$N96,"K",Budget!#REF!)*Forudsætn.!J$192,0)</f>
        <v>#REF!</v>
      </c>
      <c r="K33" s="12" t="e">
        <f>ROUND(SUMIF(Budget!$N88:$N96,"K",Budget!#REF!)*Forudsætn.!K$192,0)</f>
        <v>#REF!</v>
      </c>
      <c r="L33" s="12" t="e">
        <f>ROUND(SUMIF(Budget!$N88:$N96,"K",Budget!#REF!)*Forudsætn.!L$192,0)</f>
        <v>#REF!</v>
      </c>
      <c r="M33" s="12" t="e">
        <f>ROUND(SUMIF(Budget!$N88:$N96,"K",Budget!#REF!)*Forudsætn.!M$192,0)</f>
        <v>#REF!</v>
      </c>
      <c r="N33" s="23" t="e">
        <f t="shared" si="2"/>
        <v>#REF!</v>
      </c>
      <c r="O33" s="5"/>
    </row>
    <row r="34" spans="1:15" ht="14" customHeight="1">
      <c r="A34" s="7" t="str">
        <f>+Budget!A98</f>
        <v>Renteindtægter</v>
      </c>
      <c r="B34" s="12">
        <f>ROUND(SUMIF(Budget!$N98:$N102,"K",Budget!C98:C102)*Forudsætn.!B$192,0)</f>
        <v>0</v>
      </c>
      <c r="C34" s="12">
        <f>ROUND(SUMIF(Budget!$N98:$N102,"K",Budget!E98:E102)*Forudsætn.!C$192,0)</f>
        <v>0</v>
      </c>
      <c r="D34" s="12">
        <f>ROUND(SUMIF(Budget!$N98:$N102,"K",Budget!G98:G102)*Forudsætn.!D$192,0)</f>
        <v>0</v>
      </c>
      <c r="E34" s="12" t="e">
        <f>ROUND(SUMIF(Budget!$N98:$N102,"K",Budget!#REF!)*Forudsætn.!E$192,0)</f>
        <v>#REF!</v>
      </c>
      <c r="F34" s="12" t="e">
        <f>ROUND(SUMIF(Budget!$N98:$N102,"K",Budget!#REF!)*Forudsætn.!F$192,0)</f>
        <v>#REF!</v>
      </c>
      <c r="G34" s="12" t="e">
        <f>ROUND(SUMIF(Budget!$N98:$N102,"K",Budget!#REF!)*Forudsætn.!G$192,0)</f>
        <v>#REF!</v>
      </c>
      <c r="H34" s="12" t="e">
        <f>ROUND(SUMIF(Budget!$N98:$N102,"K",Budget!#REF!)*Forudsætn.!H$192,0)</f>
        <v>#REF!</v>
      </c>
      <c r="I34" s="12" t="e">
        <f>ROUND(SUMIF(Budget!$N98:$N102,"K",Budget!#REF!)*Forudsætn.!I$192,0)</f>
        <v>#REF!</v>
      </c>
      <c r="J34" s="12" t="e">
        <f>ROUND(SUMIF(Budget!$N98:$N102,"K",Budget!#REF!)*Forudsætn.!J$192,0)</f>
        <v>#REF!</v>
      </c>
      <c r="K34" s="12" t="e">
        <f>ROUND(SUMIF(Budget!$N98:$N102,"K",Budget!#REF!)*Forudsætn.!K$192,0)</f>
        <v>#REF!</v>
      </c>
      <c r="L34" s="12" t="e">
        <f>ROUND(SUMIF(Budget!$N98:$N102,"K",Budget!#REF!)*Forudsætn.!L$192,0)</f>
        <v>#REF!</v>
      </c>
      <c r="M34" s="12" t="e">
        <f>ROUND(SUMIF(Budget!$N98:$N102,"K",Budget!#REF!)*Forudsætn.!M$192,0)</f>
        <v>#REF!</v>
      </c>
      <c r="N34" s="23" t="e">
        <f t="shared" si="2"/>
        <v>#REF!</v>
      </c>
      <c r="O34" s="5"/>
    </row>
    <row r="35" spans="1:15" ht="14" customHeight="1">
      <c r="A35" s="7" t="str">
        <f>+Budget!A104</f>
        <v>Renteudgifter</v>
      </c>
      <c r="B35" s="12">
        <f>ROUND(SUMIF(Budget!$N104:$N113,"K",Budget!C104:C113)*Forudsætn.!B$192,0)</f>
        <v>0</v>
      </c>
      <c r="C35" s="12">
        <f>ROUND(SUMIF(Budget!$N104:$N113,"K",Budget!E104:E113)*Forudsætn.!C$192,0)</f>
        <v>0</v>
      </c>
      <c r="D35" s="12">
        <f>ROUND(SUMIF(Budget!$N104:$N113,"K",Budget!G104:G113)*Forudsætn.!D$192,0)</f>
        <v>0</v>
      </c>
      <c r="E35" s="12" t="e">
        <f>ROUND(SUMIF(Budget!$N104:$N113,"K",Budget!#REF!)*Forudsætn.!E$192,0)</f>
        <v>#REF!</v>
      </c>
      <c r="F35" s="12" t="e">
        <f>ROUND(SUMIF(Budget!$N104:$N113,"K",Budget!#REF!)*Forudsætn.!F$192,0)</f>
        <v>#REF!</v>
      </c>
      <c r="G35" s="12" t="e">
        <f>ROUND(SUMIF(Budget!$N104:$N113,"K",Budget!#REF!)*Forudsætn.!G$192,0)</f>
        <v>#REF!</v>
      </c>
      <c r="H35" s="12" t="e">
        <f>ROUND(SUMIF(Budget!$N104:$N113,"K",Budget!#REF!)*Forudsætn.!H$192,0)</f>
        <v>#REF!</v>
      </c>
      <c r="I35" s="12" t="e">
        <f>ROUND(SUMIF(Budget!$N104:$N113,"K",Budget!#REF!)*Forudsætn.!I$192,0)</f>
        <v>#REF!</v>
      </c>
      <c r="J35" s="12" t="e">
        <f>ROUND(SUMIF(Budget!$N104:$N113,"K",Budget!#REF!)*Forudsætn.!J$192,0)</f>
        <v>#REF!</v>
      </c>
      <c r="K35" s="12" t="e">
        <f>ROUND(SUMIF(Budget!$N104:$N113,"K",Budget!#REF!)*Forudsætn.!K$192,0)</f>
        <v>#REF!</v>
      </c>
      <c r="L35" s="12" t="e">
        <f>ROUND(SUMIF(Budget!$N104:$N113,"K",Budget!#REF!)*Forudsætn.!L$192,0)</f>
        <v>#REF!</v>
      </c>
      <c r="M35" s="12" t="e">
        <f>ROUND(SUMIF(Budget!$N104:$N113,"K",Budget!#REF!)*Forudsætn.!M$192,0)</f>
        <v>#REF!</v>
      </c>
      <c r="N35" s="23" t="e">
        <f t="shared" si="2"/>
        <v>#REF!</v>
      </c>
      <c r="O35" s="5"/>
    </row>
    <row r="36" spans="1:15" s="23" customFormat="1" ht="13">
      <c r="A36" s="23" t="s">
        <v>181</v>
      </c>
      <c r="B36" s="12">
        <f>ROUND(SUMIF(Forudsætn.!$O22:$O110,"K",Forudsætn.!B22:B110)*Forudsætn.!B$192,0)</f>
        <v>0</v>
      </c>
      <c r="C36" s="12">
        <f>ROUND(SUMIF(Forudsætn.!$O22:$O110,"K",Forudsætn.!C22:C110)*Forudsætn.!C$192,0)</f>
        <v>0</v>
      </c>
      <c r="D36" s="12">
        <f>ROUND(SUMIF(Forudsætn.!$O22:$O110,"K",Forudsætn.!D22:D110)*Forudsætn.!D$192,0)</f>
        <v>0</v>
      </c>
      <c r="E36" s="12">
        <f>ROUND(SUMIF(Forudsætn.!$O22:$O110,"K",Forudsætn.!E22:E110)*Forudsætn.!E$192,0)</f>
        <v>0</v>
      </c>
      <c r="F36" s="12">
        <f>ROUND(SUMIF(Forudsætn.!$O22:$O110,"K",Forudsætn.!F22:F110)*Forudsætn.!F$192,0)</f>
        <v>0</v>
      </c>
      <c r="G36" s="12">
        <f>ROUND(SUMIF(Forudsætn.!$O22:$O110,"K",Forudsætn.!G22:G110)*Forudsætn.!G$192,0)</f>
        <v>0</v>
      </c>
      <c r="H36" s="12">
        <f>ROUND(SUMIF(Forudsætn.!$O22:$O110,"K",Forudsætn.!H22:H110)*Forudsætn.!H$192,0)</f>
        <v>0</v>
      </c>
      <c r="I36" s="12">
        <f>ROUND(SUMIF(Forudsætn.!$O22:$O110,"K",Forudsætn.!I22:I110)*Forudsætn.!I$192,0)</f>
        <v>0</v>
      </c>
      <c r="J36" s="12">
        <f>ROUND(SUMIF(Forudsætn.!$O22:$O110,"K",Forudsætn.!J22:J110)*Forudsætn.!J$192,0)</f>
        <v>0</v>
      </c>
      <c r="K36" s="12">
        <f>ROUND(SUMIF(Forudsætn.!$O22:$O110,"K",Forudsætn.!K22:K110)*Forudsætn.!K$192,0)</f>
        <v>0</v>
      </c>
      <c r="L36" s="12">
        <f>ROUND(SUMIF(Forudsætn.!$O22:$O110,"K",Forudsætn.!L22:L110)*Forudsætn.!L$192,0)</f>
        <v>0</v>
      </c>
      <c r="M36" s="12">
        <f>ROUND(SUMIF(Forudsætn.!$O22:$O110,"K",Forudsætn.!M22:M110)*Forudsætn.!M$192,0)</f>
        <v>0</v>
      </c>
      <c r="N36" s="23">
        <f>ROUND(SUM(B36:M36),0)</f>
        <v>0</v>
      </c>
      <c r="O36" s="26"/>
    </row>
    <row r="37" spans="1:15" s="23" customFormat="1" ht="13">
      <c r="A37" s="23" t="s">
        <v>182</v>
      </c>
      <c r="B37" s="171">
        <v>0</v>
      </c>
      <c r="C37" s="171">
        <v>0</v>
      </c>
      <c r="D37" s="171">
        <v>0</v>
      </c>
      <c r="E37" s="171">
        <v>0</v>
      </c>
      <c r="F37" s="171">
        <v>0</v>
      </c>
      <c r="G37" s="171">
        <v>0</v>
      </c>
      <c r="H37" s="171">
        <v>0</v>
      </c>
      <c r="I37" s="171">
        <v>0</v>
      </c>
      <c r="J37" s="171">
        <v>0</v>
      </c>
      <c r="K37" s="171">
        <v>0</v>
      </c>
      <c r="L37" s="171">
        <v>0</v>
      </c>
      <c r="M37" s="171">
        <v>0</v>
      </c>
      <c r="N37" s="23">
        <f>ROUND(SUM(B37:M37),0)</f>
        <v>0</v>
      </c>
      <c r="O37" s="26"/>
    </row>
    <row r="38" spans="1:15" ht="14" customHeight="1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1:15" s="31" customFormat="1" ht="14" customHeight="1">
      <c r="B39" s="136">
        <f t="shared" ref="B39:N39" si="3">ROUND(SUM(B26:B38),0)</f>
        <v>0</v>
      </c>
      <c r="C39" s="136">
        <f t="shared" si="3"/>
        <v>0</v>
      </c>
      <c r="D39" s="136">
        <f t="shared" si="3"/>
        <v>0</v>
      </c>
      <c r="E39" s="136" t="e">
        <f t="shared" si="3"/>
        <v>#REF!</v>
      </c>
      <c r="F39" s="136" t="e">
        <f t="shared" si="3"/>
        <v>#REF!</v>
      </c>
      <c r="G39" s="136" t="e">
        <f t="shared" si="3"/>
        <v>#REF!</v>
      </c>
      <c r="H39" s="136" t="e">
        <f t="shared" si="3"/>
        <v>#REF!</v>
      </c>
      <c r="I39" s="136" t="e">
        <f t="shared" si="3"/>
        <v>#REF!</v>
      </c>
      <c r="J39" s="136" t="e">
        <f t="shared" si="3"/>
        <v>#REF!</v>
      </c>
      <c r="K39" s="136" t="e">
        <f t="shared" si="3"/>
        <v>#REF!</v>
      </c>
      <c r="L39" s="136" t="e">
        <f t="shared" si="3"/>
        <v>#REF!</v>
      </c>
      <c r="M39" s="136" t="e">
        <f t="shared" si="3"/>
        <v>#REF!</v>
      </c>
      <c r="N39" s="136" t="e">
        <f t="shared" si="3"/>
        <v>#REF!</v>
      </c>
      <c r="O39" s="32"/>
    </row>
    <row r="40" spans="1:15" ht="14" customHeight="1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5" ht="14" customHeight="1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1:15" ht="14" customHeight="1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</row>
  </sheetData>
  <phoneticPr fontId="24" type="noConversion"/>
  <pageMargins left="0.78740157480314965" right="0.78740157480314965" top="1.1811023622047245" bottom="0.78740157480314965" header="0.47244094488188981" footer="0.47244094488188981"/>
  <pageSetup paperSize="9" scale="77" orientation="landscape" useFirstPageNumber="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 enableFormatConditionsCalculation="0"/>
  <dimension ref="A2:N39"/>
  <sheetViews>
    <sheetView topLeftCell="A15" workbookViewId="0">
      <selection activeCell="C29" sqref="C29"/>
    </sheetView>
  </sheetViews>
  <sheetFormatPr baseColWidth="10" defaultColWidth="8.6640625" defaultRowHeight="15" x14ac:dyDescent="0"/>
  <cols>
    <col min="1" max="1" width="33.1640625" style="117" customWidth="1"/>
    <col min="2" max="14" width="9.6640625" style="117" customWidth="1"/>
    <col min="15" max="15" width="4.83203125" style="117" customWidth="1"/>
    <col min="16" max="16384" width="8.6640625" style="117"/>
  </cols>
  <sheetData>
    <row r="2" spans="1:14" ht="16">
      <c r="A2" s="103" t="s">
        <v>52</v>
      </c>
    </row>
    <row r="4" spans="1:14" ht="16">
      <c r="A4" s="118"/>
      <c r="B4" s="106">
        <f>+Forudsætn.!B3</f>
        <v>2013</v>
      </c>
      <c r="C4" s="106">
        <f>+Forudsætn.!C3</f>
        <v>2014</v>
      </c>
      <c r="D4" s="106">
        <f>+Forudsætn.!D3</f>
        <v>2015</v>
      </c>
      <c r="E4" s="106" t="str">
        <f>+Forudsætn.!E3</f>
        <v>Apr</v>
      </c>
      <c r="F4" s="106" t="str">
        <f>+Forudsætn.!F3</f>
        <v>Maj</v>
      </c>
      <c r="G4" s="106" t="str">
        <f>+Forudsætn.!G3</f>
        <v>Jun</v>
      </c>
      <c r="H4" s="106" t="str">
        <f>+Forudsætn.!H3</f>
        <v>Jul</v>
      </c>
      <c r="I4" s="106" t="str">
        <f>+Forudsætn.!I3</f>
        <v>Aug</v>
      </c>
      <c r="J4" s="106" t="str">
        <f>+Forudsætn.!J3</f>
        <v>Sep</v>
      </c>
      <c r="K4" s="106" t="str">
        <f>+Forudsætn.!K3</f>
        <v>Okt</v>
      </c>
      <c r="L4" s="106" t="str">
        <f>+Forudsætn.!L3</f>
        <v>Nov</v>
      </c>
      <c r="M4" s="106" t="str">
        <f>+Forudsætn.!M3</f>
        <v>Dec</v>
      </c>
      <c r="N4" s="106" t="str">
        <f>Resultat!F4</f>
        <v>I alt</v>
      </c>
    </row>
    <row r="5" spans="1:14">
      <c r="A5" s="119"/>
      <c r="B5" s="120"/>
      <c r="C5" s="121"/>
      <c r="D5" s="121"/>
      <c r="E5" s="121"/>
      <c r="F5" s="121"/>
      <c r="G5" s="121"/>
      <c r="H5" s="121"/>
      <c r="I5" s="122"/>
      <c r="J5" s="122"/>
      <c r="K5" s="122"/>
      <c r="L5" s="122"/>
      <c r="M5" s="122"/>
    </row>
    <row r="6" spans="1:14">
      <c r="A6" s="119" t="s">
        <v>157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1:14">
      <c r="A7" s="123"/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5"/>
    </row>
    <row r="8" spans="1:14" ht="14" customHeight="1">
      <c r="A8" s="123" t="s">
        <v>6</v>
      </c>
      <c r="B8" s="166">
        <f>-ROUND(SUM(Forudsætn.!B236:B242),0)</f>
        <v>192500</v>
      </c>
      <c r="C8" s="166">
        <f>-ROUND(SUM(Forudsætn.!C236:C242),0)</f>
        <v>237600</v>
      </c>
      <c r="D8" s="166">
        <f>-ROUND(SUM(Forudsætn.!D236:D242),0)</f>
        <v>247450</v>
      </c>
      <c r="E8" s="166" t="e">
        <f>-ROUND(SUM(Forudsætn.!E236:E242),0)</f>
        <v>#REF!</v>
      </c>
      <c r="F8" s="166" t="e">
        <f>-ROUND(SUM(Forudsætn.!F236:F242),0)</f>
        <v>#REF!</v>
      </c>
      <c r="G8" s="166" t="e">
        <f>-ROUND(SUM(Forudsætn.!G236:G242),0)</f>
        <v>#REF!</v>
      </c>
      <c r="H8" s="166" t="e">
        <f>-ROUND(SUM(Forudsætn.!H236:H242),0)</f>
        <v>#REF!</v>
      </c>
      <c r="I8" s="166" t="e">
        <f>-ROUND(SUM(Forudsætn.!I236:I242),0)</f>
        <v>#REF!</v>
      </c>
      <c r="J8" s="166" t="e">
        <f>-ROUND(SUM(Forudsætn.!J236:J242),0)</f>
        <v>#REF!</v>
      </c>
      <c r="K8" s="166" t="e">
        <f>-ROUND(SUM(Forudsætn.!K236:K242),0)</f>
        <v>#REF!</v>
      </c>
      <c r="L8" s="166" t="e">
        <f>-ROUND(SUM(Forudsætn.!L236:L242),0)</f>
        <v>#REF!</v>
      </c>
      <c r="M8" s="166" t="e">
        <f>-ROUND(SUM(Forudsætn.!M236:M242),0)</f>
        <v>#REF!</v>
      </c>
      <c r="N8" s="165" t="e">
        <f>ROUND(SUM(B8:M8),0)</f>
        <v>#REF!</v>
      </c>
    </row>
    <row r="9" spans="1:14" ht="14" customHeight="1">
      <c r="A9" s="123" t="s">
        <v>84</v>
      </c>
      <c r="B9" s="165">
        <f>ROUND(Budget!C102+(SUMIF(Budget!$N98:$N101,"K",Budget!C98:C101)*Forudsætn.!B$192)+(SUMIF(Budget!$N98:$N101,"S",Budget!C98:C101)*Forudsætn.!B$192),0)</f>
        <v>0</v>
      </c>
      <c r="C9" s="165">
        <f>ROUND(Budget!E102+(SUMIF(Budget!$N98:$N101,"K",Budget!E98:E101)*Forudsætn.!C$192)+(SUMIF(Budget!$N98:$N101,"S",Budget!E98:E101)*Forudsætn.!C$192),0)</f>
        <v>0</v>
      </c>
      <c r="D9" s="165">
        <f>ROUND(Budget!G102+(SUMIF(Budget!$N98:$N101,"K",Budget!G98:G101)*Forudsætn.!D$192)+(SUMIF(Budget!$N98:$N101,"S",Budget!G98:G101)*Forudsætn.!D$192),0)</f>
        <v>0</v>
      </c>
      <c r="E9" s="165" t="e">
        <f>ROUND(Budget!#REF!+(SUMIF(Budget!$N98:$N101,"K",Budget!#REF!)*Forudsætn.!E$192)+(SUMIF(Budget!$N98:$N101,"S",Budget!#REF!)*Forudsætn.!E$192),0)</f>
        <v>#REF!</v>
      </c>
      <c r="F9" s="165" t="e">
        <f>ROUND(Budget!#REF!+(SUMIF(Budget!$N98:$N101,"K",Budget!#REF!)*Forudsætn.!F$192)+(SUMIF(Budget!$N98:$N101,"S",Budget!#REF!)*Forudsætn.!F$192),0)</f>
        <v>#REF!</v>
      </c>
      <c r="G9" s="165" t="e">
        <f>ROUND(Budget!#REF!+(SUMIF(Budget!$N98:$N101,"K",Budget!#REF!)*Forudsætn.!G$192)+(SUMIF(Budget!$N98:$N101,"S",Budget!#REF!)*Forudsætn.!G$192),0)</f>
        <v>#REF!</v>
      </c>
      <c r="H9" s="165" t="e">
        <f>ROUND(Budget!#REF!+(SUMIF(Budget!$N98:$N101,"K",Budget!#REF!)*Forudsætn.!H$192)+(SUMIF(Budget!$N98:$N101,"S",Budget!#REF!)*Forudsætn.!H$192),0)</f>
        <v>#REF!</v>
      </c>
      <c r="I9" s="165" t="e">
        <f>ROUND(Budget!#REF!+(SUMIF(Budget!$N98:$N101,"K",Budget!#REF!)*Forudsætn.!I$192)+(SUMIF(Budget!$N98:$N101,"S",Budget!#REF!)*Forudsætn.!I$192),0)</f>
        <v>#REF!</v>
      </c>
      <c r="J9" s="165" t="e">
        <f>ROUND(Budget!#REF!+(SUMIF(Budget!$N98:$N101,"K",Budget!#REF!)*Forudsætn.!J$192)+(SUMIF(Budget!$N98:$N101,"S",Budget!#REF!)*Forudsætn.!J$192),0)</f>
        <v>#REF!</v>
      </c>
      <c r="K9" s="165" t="e">
        <f>ROUND(Budget!#REF!+(SUMIF(Budget!$N98:$N101,"K",Budget!#REF!)*Forudsætn.!K$192)+(SUMIF(Budget!$N98:$N101,"S",Budget!#REF!)*Forudsætn.!K$192),0)</f>
        <v>#REF!</v>
      </c>
      <c r="L9" s="165" t="e">
        <f>ROUND(Budget!#REF!+(SUMIF(Budget!$N98:$N101,"K",Budget!#REF!)*Forudsætn.!L$192)+(SUMIF(Budget!$N98:$N101,"S",Budget!#REF!)*Forudsætn.!L$192),0)</f>
        <v>#REF!</v>
      </c>
      <c r="M9" s="165" t="e">
        <f>ROUND(Budget!#REF!+(SUMIF(Budget!$N98:$N101,"K",Budget!#REF!)*Forudsætn.!M$192)+(SUMIF(Budget!$N98:$N101,"S",Budget!#REF!)*Forudsætn.!M$192),0)</f>
        <v>#REF!</v>
      </c>
      <c r="N9" s="165" t="e">
        <f>ROUND(SUM(B9:M9),0)</f>
        <v>#REF!</v>
      </c>
    </row>
    <row r="10" spans="1:14" ht="14" customHeight="1">
      <c r="A10" s="123" t="s">
        <v>160</v>
      </c>
      <c r="B10" s="165">
        <f>ROUND(Forudsætn.!B36+Forudsætn.!B56+Forudsætn.!B74+Forudsætn.!B94+Forudsætn.!B112+(SUMIF(Forudsætn.!$O26:$O112,"S",Forudsætn.!B26:B112)*Forudsætn.!B$192),0)</f>
        <v>0</v>
      </c>
      <c r="C10" s="165">
        <f>ROUND(Forudsætn.!C36+Forudsætn.!C56+Forudsætn.!C74+Forudsætn.!C94+Forudsætn.!C112+(SUMIF(Forudsætn.!$O26:$O112,"S",Forudsætn.!C26:C112)*Forudsætn.!C$192),0)</f>
        <v>0</v>
      </c>
      <c r="D10" s="165">
        <f>ROUND(Forudsætn.!D36+Forudsætn.!D56+Forudsætn.!D74+Forudsætn.!D94+Forudsætn.!D112+(SUMIF(Forudsætn.!$O26:$O112,"S",Forudsætn.!D26:D112)*Forudsætn.!D$192),0)</f>
        <v>0</v>
      </c>
      <c r="E10" s="165">
        <f>ROUND(Forudsætn.!E36+Forudsætn.!E56+Forudsætn.!E74+Forudsætn.!E94+Forudsætn.!E112+(SUMIF(Forudsætn.!$O26:$O112,"S",Forudsætn.!E26:E112)*Forudsætn.!E$192),0)</f>
        <v>0</v>
      </c>
      <c r="F10" s="165">
        <f>ROUND(Forudsætn.!F36+Forudsætn.!F56+Forudsætn.!F74+Forudsætn.!F94+Forudsætn.!F112+(SUMIF(Forudsætn.!$O26:$O112,"S",Forudsætn.!F26:F112)*Forudsætn.!F$192),0)</f>
        <v>0</v>
      </c>
      <c r="G10" s="165">
        <f>ROUND(Forudsætn.!G36+Forudsætn.!G56+Forudsætn.!G74+Forudsætn.!G94+Forudsætn.!G112+(SUMIF(Forudsætn.!$O26:$O112,"S",Forudsætn.!G26:G112)*Forudsætn.!G$192),0)</f>
        <v>0</v>
      </c>
      <c r="H10" s="165">
        <f>ROUND(Forudsætn.!H36+Forudsætn.!H56+Forudsætn.!H74+Forudsætn.!H94+Forudsætn.!H112+(SUMIF(Forudsætn.!$O26:$O112,"S",Forudsætn.!H26:H112)*Forudsætn.!H$192),0)</f>
        <v>0</v>
      </c>
      <c r="I10" s="165">
        <f>ROUND(Forudsætn.!I36+Forudsætn.!I56+Forudsætn.!I74+Forudsætn.!I94+Forudsætn.!I112+(SUMIF(Forudsætn.!$O26:$O112,"S",Forudsætn.!I26:I112)*Forudsætn.!I$192),0)</f>
        <v>0</v>
      </c>
      <c r="J10" s="165">
        <f>ROUND(Forudsætn.!J36+Forudsætn.!J56+Forudsætn.!J74+Forudsætn.!J94+Forudsætn.!J112+(SUMIF(Forudsætn.!$O26:$O112,"S",Forudsætn.!J26:J112)*Forudsætn.!J$192),0)</f>
        <v>0</v>
      </c>
      <c r="K10" s="165">
        <f>ROUND(Forudsætn.!K36+Forudsætn.!K56+Forudsætn.!K74+Forudsætn.!K94+Forudsætn.!K112+(SUMIF(Forudsætn.!$O26:$O112,"S",Forudsætn.!K26:K112)*Forudsætn.!K$192),0)</f>
        <v>0</v>
      </c>
      <c r="L10" s="165">
        <f>ROUND(Forudsætn.!L36+Forudsætn.!L56+Forudsætn.!L74+Forudsætn.!L94+Forudsætn.!L112+(SUMIF(Forudsætn.!$O26:$O112,"S",Forudsætn.!L26:L112)*Forudsætn.!L$192),0)</f>
        <v>0</v>
      </c>
      <c r="M10" s="165">
        <f>ROUND(Forudsætn.!M36+Forudsætn.!M56+Forudsætn.!M74+Forudsætn.!M94+Forudsætn.!M112+(SUMIF(Forudsætn.!$O26:$O112,"S",Forudsætn.!M26:M112)*Forudsætn.!M$192),0)</f>
        <v>0</v>
      </c>
      <c r="N10" s="165">
        <f>ROUND(SUM(B10:M10),0)</f>
        <v>0</v>
      </c>
    </row>
    <row r="11" spans="1:14" ht="21" customHeight="1">
      <c r="A11" s="125" t="s">
        <v>242</v>
      </c>
      <c r="B11" s="167">
        <f>ROUND(SUM(B7:B10),0)</f>
        <v>192500</v>
      </c>
      <c r="C11" s="167">
        <f t="shared" ref="C11:M11" si="0">ROUND(SUM(C7:C10),0)</f>
        <v>237600</v>
      </c>
      <c r="D11" s="167">
        <f t="shared" si="0"/>
        <v>247450</v>
      </c>
      <c r="E11" s="167" t="e">
        <f t="shared" si="0"/>
        <v>#REF!</v>
      </c>
      <c r="F11" s="167" t="e">
        <f t="shared" si="0"/>
        <v>#REF!</v>
      </c>
      <c r="G11" s="167" t="e">
        <f t="shared" si="0"/>
        <v>#REF!</v>
      </c>
      <c r="H11" s="167" t="e">
        <f t="shared" si="0"/>
        <v>#REF!</v>
      </c>
      <c r="I11" s="167" t="e">
        <f t="shared" si="0"/>
        <v>#REF!</v>
      </c>
      <c r="J11" s="167" t="e">
        <f t="shared" si="0"/>
        <v>#REF!</v>
      </c>
      <c r="K11" s="167" t="e">
        <f t="shared" si="0"/>
        <v>#REF!</v>
      </c>
      <c r="L11" s="167" t="e">
        <f t="shared" si="0"/>
        <v>#REF!</v>
      </c>
      <c r="M11" s="167" t="e">
        <f t="shared" si="0"/>
        <v>#REF!</v>
      </c>
      <c r="N11" s="168" t="e">
        <f>ROUND(SUM(B11:M11),0)</f>
        <v>#REF!</v>
      </c>
    </row>
    <row r="12" spans="1:14" ht="14" customHeight="1">
      <c r="A12" s="119"/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</row>
    <row r="13" spans="1:14" ht="14" customHeight="1">
      <c r="A13" s="119" t="s">
        <v>159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5"/>
    </row>
    <row r="14" spans="1:14" ht="14" customHeight="1">
      <c r="A14" s="119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</row>
    <row r="15" spans="1:14" ht="14" customHeight="1">
      <c r="A15" s="123" t="s">
        <v>161</v>
      </c>
      <c r="B15" s="165">
        <f>-ROUND(SUM(Forudsætn.!B271:B277),0)</f>
        <v>0</v>
      </c>
      <c r="C15" s="165">
        <f>-ROUND(SUM(Forudsætn.!C271:C277),0)</f>
        <v>0</v>
      </c>
      <c r="D15" s="165">
        <f>-ROUND(SUM(Forudsætn.!D271:D277),0)</f>
        <v>0</v>
      </c>
      <c r="E15" s="165" t="e">
        <f>-ROUND(SUM(Forudsætn.!E271:E277),0)</f>
        <v>#REF!</v>
      </c>
      <c r="F15" s="165" t="e">
        <f>-ROUND(SUM(Forudsætn.!F271:F277),0)</f>
        <v>#REF!</v>
      </c>
      <c r="G15" s="165" t="e">
        <f>-ROUND(SUM(Forudsætn.!G271:G277),0)</f>
        <v>#REF!</v>
      </c>
      <c r="H15" s="165" t="e">
        <f>-ROUND(SUM(Forudsætn.!H271:H277),0)</f>
        <v>#REF!</v>
      </c>
      <c r="I15" s="165" t="e">
        <f>-ROUND(SUM(Forudsætn.!I271:I277),0)</f>
        <v>#REF!</v>
      </c>
      <c r="J15" s="165" t="e">
        <f>-ROUND(SUM(Forudsætn.!J271:J277),0)</f>
        <v>#REF!</v>
      </c>
      <c r="K15" s="165" t="e">
        <f>-ROUND(SUM(Forudsætn.!K271:K277),0)</f>
        <v>#REF!</v>
      </c>
      <c r="L15" s="165" t="e">
        <f>-ROUND(SUM(Forudsætn.!L271:L277),0)</f>
        <v>#REF!</v>
      </c>
      <c r="M15" s="165" t="e">
        <f>-ROUND(SUM(Forudsætn.!M271:M277),0)</f>
        <v>#REF!</v>
      </c>
      <c r="N15" s="165" t="e">
        <f t="shared" ref="N15:N24" si="1">ROUND(SUM(B15:M15),0)</f>
        <v>#REF!</v>
      </c>
    </row>
    <row r="16" spans="1:14" ht="14" customHeight="1">
      <c r="A16" s="123" t="s">
        <v>188</v>
      </c>
      <c r="B16" s="165">
        <f>ROUND(Forudsætn.!B310+SUM(Budget!C33:C38)+(SUMIF(Budget!$N29:$N38,"K",Budget!C29:C38)*Forudsætn.!B$192)+(SUMIF(Budget!$N29:$N38,"S",Budget!C29:C38)*Forudsætn.!B$192),0)</f>
        <v>0</v>
      </c>
      <c r="C16" s="165">
        <f>ROUND(Forudsætn.!C310+SUM(Budget!E33:E38)+(SUMIF(Budget!$N29:$N38,"K",Budget!E29:E38)*Forudsætn.!C$192)+(SUMIF(Budget!$N29:$N38,"S",Budget!E29:E38)*Forudsætn.!C$192),0)</f>
        <v>0</v>
      </c>
      <c r="D16" s="165">
        <f>ROUND(Forudsætn.!D310+SUM(Budget!G33:G38)+(SUMIF(Budget!$N29:$N38,"K",Budget!G29:G38)*Forudsætn.!D$192)+(SUMIF(Budget!$N29:$N38,"S",Budget!G29:G38)*Forudsætn.!D$192),0)</f>
        <v>0</v>
      </c>
      <c r="E16" s="165" t="e">
        <f>ROUND(Forudsætn.!E310+SUM(Budget!#REF!)+(SUMIF(Budget!$N29:$N38,"K",Budget!#REF!)*Forudsætn.!E$192)+(SUMIF(Budget!$N29:$N38,"S",Budget!#REF!)*Forudsætn.!E$192),0)</f>
        <v>#REF!</v>
      </c>
      <c r="F16" s="165" t="e">
        <f>ROUND(Forudsætn.!F310+SUM(Budget!#REF!)+(SUMIF(Budget!$N29:$N38,"K",Budget!#REF!)*Forudsætn.!F$192)+(SUMIF(Budget!$N29:$N38,"S",Budget!#REF!)*Forudsætn.!F$192),0)</f>
        <v>#REF!</v>
      </c>
      <c r="G16" s="165" t="e">
        <f>ROUND(Forudsætn.!G310+SUM(Budget!#REF!)+(SUMIF(Budget!$N29:$N38,"K",Budget!#REF!)*Forudsætn.!G$192)+(SUMIF(Budget!$N29:$N38,"S",Budget!#REF!)*Forudsætn.!G$192),0)</f>
        <v>#REF!</v>
      </c>
      <c r="H16" s="165" t="e">
        <f>ROUND(Forudsætn.!H310+SUM(Budget!#REF!)+(SUMIF(Budget!$N29:$N38,"K",Budget!#REF!)*Forudsætn.!H$192)+(SUMIF(Budget!$N29:$N38,"S",Budget!#REF!)*Forudsætn.!H$192),0)</f>
        <v>#REF!</v>
      </c>
      <c r="I16" s="165" t="e">
        <f>ROUND(Forudsætn.!I310+SUM(Budget!#REF!)+(SUMIF(Budget!$N29:$N38,"K",Budget!#REF!)*Forudsætn.!I$192)+(SUMIF(Budget!$N29:$N38,"S",Budget!#REF!)*Forudsætn.!I$192),0)</f>
        <v>#REF!</v>
      </c>
      <c r="J16" s="165" t="e">
        <f>ROUND(Forudsætn.!J310+SUM(Budget!#REF!)+(SUMIF(Budget!$N29:$N38,"K",Budget!#REF!)*Forudsætn.!J$192)+(SUMIF(Budget!$N29:$N38,"S",Budget!#REF!)*Forudsætn.!J$192),0)</f>
        <v>#REF!</v>
      </c>
      <c r="K16" s="165" t="e">
        <f>ROUND(Forudsætn.!K310+SUM(Budget!#REF!)+(SUMIF(Budget!$N29:$N38,"K",Budget!#REF!)*Forudsætn.!K$192)+(SUMIF(Budget!$N29:$N38,"S",Budget!#REF!)*Forudsætn.!K$192),0)</f>
        <v>#REF!</v>
      </c>
      <c r="L16" s="165" t="e">
        <f>ROUND(Forudsætn.!L310+SUM(Budget!#REF!)+(SUMIF(Budget!$N29:$N38,"K",Budget!#REF!)*Forudsætn.!L$192)+(SUMIF(Budget!$N29:$N38,"S",Budget!#REF!)*Forudsætn.!L$192),0)</f>
        <v>#REF!</v>
      </c>
      <c r="M16" s="165" t="e">
        <f>ROUND(Forudsætn.!M310+SUM(Budget!#REF!)+(SUMIF(Budget!$N29:$N38,"K",Budget!#REF!)*Forudsætn.!M$192)+(SUMIF(Budget!$N29:$N38,"S",Budget!#REF!)*Forudsætn.!M$192),0)</f>
        <v>#REF!</v>
      </c>
      <c r="N16" s="165" t="e">
        <f t="shared" si="1"/>
        <v>#REF!</v>
      </c>
    </row>
    <row r="17" spans="1:14" ht="14" customHeight="1">
      <c r="A17" s="123" t="s">
        <v>25</v>
      </c>
      <c r="B17" s="165">
        <f>ROUND(Budget!C52+(SUMIF(Budget!$N41:$N51,"K",Budget!C41:C51)*Forudsætn.!B$192)+(SUMIF(Budget!$N41:$N51,"S",Budget!C41:C51)*Forudsætn.!B$192),0)</f>
        <v>60000</v>
      </c>
      <c r="C17" s="165">
        <f>ROUND(Budget!E52+(SUMIF(Budget!$N41:$N51,"K",Budget!E41:E51)*Forudsætn.!C$192)+(SUMIF(Budget!$N41:$N51,"S",Budget!E41:E51)*Forudsætn.!C$192),0)</f>
        <v>60000</v>
      </c>
      <c r="D17" s="165">
        <f>ROUND(Budget!G52+(SUMIF(Budget!$N41:$N51,"K",Budget!G41:G51)*Forudsætn.!D$192)+(SUMIF(Budget!$N41:$N51,"S",Budget!G41:G51)*Forudsætn.!D$192),0)</f>
        <v>90000</v>
      </c>
      <c r="E17" s="165" t="e">
        <f>ROUND(Budget!#REF!+(SUMIF(Budget!$N41:$N51,"K",Budget!#REF!)*Forudsætn.!E$192)+(SUMIF(Budget!$N41:$N51,"S",Budget!#REF!)*Forudsætn.!E$192),0)</f>
        <v>#REF!</v>
      </c>
      <c r="F17" s="165" t="e">
        <f>ROUND(Budget!#REF!+(SUMIF(Budget!$N41:$N51,"K",Budget!#REF!)*Forudsætn.!F$192)+(SUMIF(Budget!$N41:$N51,"S",Budget!#REF!)*Forudsætn.!F$192),0)</f>
        <v>#REF!</v>
      </c>
      <c r="G17" s="165" t="e">
        <f>ROUND(Budget!#REF!+(SUMIF(Budget!$N41:$N51,"K",Budget!#REF!)*Forudsætn.!G$192)+(SUMIF(Budget!$N41:$N51,"S",Budget!#REF!)*Forudsætn.!G$192),0)</f>
        <v>#REF!</v>
      </c>
      <c r="H17" s="165" t="e">
        <f>ROUND(Budget!#REF!+(SUMIF(Budget!$N41:$N51,"K",Budget!#REF!)*Forudsætn.!H$192)+(SUMIF(Budget!$N41:$N51,"S",Budget!#REF!)*Forudsætn.!H$192),0)</f>
        <v>#REF!</v>
      </c>
      <c r="I17" s="165" t="e">
        <f>ROUND(Budget!#REF!+(SUMIF(Budget!$N41:$N51,"K",Budget!#REF!)*Forudsætn.!I$192)+(SUMIF(Budget!$N41:$N51,"S",Budget!#REF!)*Forudsætn.!I$192),0)</f>
        <v>#REF!</v>
      </c>
      <c r="J17" s="165" t="e">
        <f>ROUND(Budget!#REF!+(SUMIF(Budget!$N41:$N51,"K",Budget!#REF!)*Forudsætn.!J$192)+(SUMIF(Budget!$N41:$N51,"S",Budget!#REF!)*Forudsætn.!J$192),0)</f>
        <v>#REF!</v>
      </c>
      <c r="K17" s="165" t="e">
        <f>ROUND(Budget!#REF!+(SUMIF(Budget!$N41:$N51,"K",Budget!#REF!)*Forudsætn.!K$192)+(SUMIF(Budget!$N41:$N51,"S",Budget!#REF!)*Forudsætn.!K$192),0)</f>
        <v>#REF!</v>
      </c>
      <c r="L17" s="165" t="e">
        <f>ROUND(Budget!#REF!+(SUMIF(Budget!$N41:$N51,"K",Budget!#REF!)*Forudsætn.!L$192)+(SUMIF(Budget!$N41:$N51,"S",Budget!#REF!)*Forudsætn.!L$192),0)</f>
        <v>#REF!</v>
      </c>
      <c r="M17" s="165" t="e">
        <f>ROUND(Budget!#REF!+(SUMIF(Budget!$N41:$N51,"K",Budget!#REF!)*Forudsætn.!M$192)+(SUMIF(Budget!$N41:$N51,"S",Budget!#REF!)*Forudsætn.!M$192),0)</f>
        <v>#REF!</v>
      </c>
      <c r="N17" s="165" t="e">
        <f t="shared" si="1"/>
        <v>#REF!</v>
      </c>
    </row>
    <row r="18" spans="1:14" ht="14" customHeight="1">
      <c r="A18" s="123" t="s">
        <v>26</v>
      </c>
      <c r="B18" s="165">
        <f>ROUND(Budget!C62+(SUMIF(Budget!$N54:$N61,"K",Budget!C54:C61)*Forudsætn.!B$192)+(SUMIF(Budget!$N54:$N61,"S",Budget!C54:C61)*Forudsætn.!B$192),0)</f>
        <v>173500</v>
      </c>
      <c r="C18" s="165">
        <f>ROUND(Budget!E62+(SUMIF(Budget!$N54:$N61,"K",Budget!E54:E61)*Forudsætn.!C$192)+(SUMIF(Budget!$N54:$N61,"S",Budget!E54:E61)*Forudsætn.!C$192),0)</f>
        <v>193000</v>
      </c>
      <c r="D18" s="165">
        <f>ROUND(Budget!G62+(SUMIF(Budget!$N54:$N61,"K",Budget!G54:G61)*Forudsætn.!D$192)+(SUMIF(Budget!$N54:$N61,"S",Budget!G54:G61)*Forudsætn.!D$192),0)</f>
        <v>177500</v>
      </c>
      <c r="E18" s="165" t="e">
        <f>ROUND(Budget!#REF!+(SUMIF(Budget!$N54:$N61,"K",Budget!#REF!)*Forudsætn.!E$192)+(SUMIF(Budget!$N54:$N61,"S",Budget!#REF!)*Forudsætn.!E$192),0)</f>
        <v>#REF!</v>
      </c>
      <c r="F18" s="165" t="e">
        <f>ROUND(Budget!#REF!+(SUMIF(Budget!$N54:$N61,"K",Budget!#REF!)*Forudsætn.!F$192)+(SUMIF(Budget!$N54:$N61,"S",Budget!#REF!)*Forudsætn.!F$192),0)</f>
        <v>#REF!</v>
      </c>
      <c r="G18" s="165" t="e">
        <f>ROUND(Budget!#REF!+(SUMIF(Budget!$N54:$N61,"K",Budget!#REF!)*Forudsætn.!G$192)+(SUMIF(Budget!$N54:$N61,"S",Budget!#REF!)*Forudsætn.!G$192),0)</f>
        <v>#REF!</v>
      </c>
      <c r="H18" s="165" t="e">
        <f>ROUND(Budget!#REF!+(SUMIF(Budget!$N54:$N61,"K",Budget!#REF!)*Forudsætn.!H$192)+(SUMIF(Budget!$N54:$N61,"S",Budget!#REF!)*Forudsætn.!H$192),0)</f>
        <v>#REF!</v>
      </c>
      <c r="I18" s="165" t="e">
        <f>ROUND(Budget!#REF!+(SUMIF(Budget!$N54:$N61,"K",Budget!#REF!)*Forudsætn.!I$192)+(SUMIF(Budget!$N54:$N61,"S",Budget!#REF!)*Forudsætn.!I$192),0)</f>
        <v>#REF!</v>
      </c>
      <c r="J18" s="165" t="e">
        <f>ROUND(Budget!#REF!+(SUMIF(Budget!$N54:$N61,"K",Budget!#REF!)*Forudsætn.!J$192)+(SUMIF(Budget!$N54:$N61,"S",Budget!#REF!)*Forudsætn.!J$192),0)</f>
        <v>#REF!</v>
      </c>
      <c r="K18" s="165" t="e">
        <f>ROUND(Budget!#REF!+(SUMIF(Budget!$N54:$N61,"K",Budget!#REF!)*Forudsætn.!K$192)+(SUMIF(Budget!$N54:$N61,"S",Budget!#REF!)*Forudsætn.!K$192),0)</f>
        <v>#REF!</v>
      </c>
      <c r="L18" s="165" t="e">
        <f>ROUND(Budget!#REF!+(SUMIF(Budget!$N54:$N61,"K",Budget!#REF!)*Forudsætn.!L$192)+(SUMIF(Budget!$N54:$N61,"S",Budget!#REF!)*Forudsætn.!L$192),0)</f>
        <v>#REF!</v>
      </c>
      <c r="M18" s="165" t="e">
        <f>ROUND(Budget!#REF!+(SUMIF(Budget!$N54:$N61,"K",Budget!#REF!)*Forudsætn.!M$192)+(SUMIF(Budget!$N54:$N61,"S",Budget!#REF!)*Forudsætn.!M$192),0)</f>
        <v>#REF!</v>
      </c>
      <c r="N18" s="165" t="e">
        <f t="shared" si="1"/>
        <v>#REF!</v>
      </c>
    </row>
    <row r="19" spans="1:14" ht="14" customHeight="1">
      <c r="A19" s="123" t="s">
        <v>70</v>
      </c>
      <c r="B19" s="165">
        <f>ROUND(Budget!C71+(SUMIF(Budget!$N64:$N70,"K",Budget!C64:C70)*Forudsætn.!B$192)+(SUMIF(Budget!$N64:$N70,"S",Budget!C64:C70)*Forudsætn.!B$192),0)</f>
        <v>0</v>
      </c>
      <c r="C19" s="165">
        <f>ROUND(Budget!E71+(SUMIF(Budget!$N64:$N70,"K",Budget!E64:E70)*Forudsætn.!C$192)+(SUMIF(Budget!$N64:$N70,"S",Budget!E64:E70)*Forudsætn.!C$192),0)</f>
        <v>0</v>
      </c>
      <c r="D19" s="165">
        <f>ROUND(Budget!G71+(SUMIF(Budget!$N64:$N70,"K",Budget!G64:G70)*Forudsætn.!D$192)+(SUMIF(Budget!$N64:$N70,"S",Budget!G64:G70)*Forudsætn.!D$192),0)</f>
        <v>0</v>
      </c>
      <c r="E19" s="165" t="e">
        <f>ROUND(Budget!#REF!+(SUMIF(Budget!$N64:$N70,"K",Budget!#REF!)*Forudsætn.!E$192)+(SUMIF(Budget!$N64:$N70,"S",Budget!#REF!)*Forudsætn.!E$192),0)</f>
        <v>#REF!</v>
      </c>
      <c r="F19" s="165" t="e">
        <f>ROUND(Budget!#REF!+(SUMIF(Budget!$N64:$N70,"K",Budget!#REF!)*Forudsætn.!F$192)+(SUMIF(Budget!$N64:$N70,"S",Budget!#REF!)*Forudsætn.!F$192),0)</f>
        <v>#REF!</v>
      </c>
      <c r="G19" s="165" t="e">
        <f>ROUND(Budget!#REF!+(SUMIF(Budget!$N64:$N70,"K",Budget!#REF!)*Forudsætn.!G$192)+(SUMIF(Budget!$N64:$N70,"S",Budget!#REF!)*Forudsætn.!G$192),0)</f>
        <v>#REF!</v>
      </c>
      <c r="H19" s="165" t="e">
        <f>ROUND(Budget!#REF!+(SUMIF(Budget!$N64:$N70,"K",Budget!#REF!)*Forudsætn.!H$192)+(SUMIF(Budget!$N64:$N70,"S",Budget!#REF!)*Forudsætn.!H$192),0)</f>
        <v>#REF!</v>
      </c>
      <c r="I19" s="165" t="e">
        <f>ROUND(Budget!#REF!+(SUMIF(Budget!$N64:$N70,"K",Budget!#REF!)*Forudsætn.!I$192)+(SUMIF(Budget!$N64:$N70,"S",Budget!#REF!)*Forudsætn.!I$192),0)</f>
        <v>#REF!</v>
      </c>
      <c r="J19" s="165" t="e">
        <f>ROUND(Budget!#REF!+(SUMIF(Budget!$N64:$N70,"K",Budget!#REF!)*Forudsætn.!J$192)+(SUMIF(Budget!$N64:$N70,"S",Budget!#REF!)*Forudsætn.!J$192),0)</f>
        <v>#REF!</v>
      </c>
      <c r="K19" s="165" t="e">
        <f>ROUND(Budget!#REF!+(SUMIF(Budget!$N64:$N70,"K",Budget!#REF!)*Forudsætn.!K$192)+(SUMIF(Budget!$N64:$N70,"S",Budget!#REF!)*Forudsætn.!K$192),0)</f>
        <v>#REF!</v>
      </c>
      <c r="L19" s="165" t="e">
        <f>ROUND(Budget!#REF!+(SUMIF(Budget!$N64:$N70,"K",Budget!#REF!)*Forudsætn.!L$192)+(SUMIF(Budget!$N64:$N70,"S",Budget!#REF!)*Forudsætn.!L$192),0)</f>
        <v>#REF!</v>
      </c>
      <c r="M19" s="165" t="e">
        <f>ROUND(Budget!#REF!+(SUMIF(Budget!$N64:$N70,"K",Budget!#REF!)*Forudsætn.!M$192)+(SUMIF(Budget!$N64:$N70,"S",Budget!#REF!)*Forudsætn.!M$192),0)</f>
        <v>#REF!</v>
      </c>
      <c r="N19" s="165" t="e">
        <f t="shared" si="1"/>
        <v>#REF!</v>
      </c>
    </row>
    <row r="20" spans="1:14" ht="14" customHeight="1">
      <c r="A20" s="123" t="s">
        <v>27</v>
      </c>
      <c r="B20" s="165">
        <f>ROUND(Budget!C84+(SUMIF(Budget!$N73:$N83,"K",Budget!C73:C83)*Forudsætn.!B$192)+(SUMIF(Budget!$N73:$N83,"S",Budget!C73:C83)*Forudsætn.!B$192),0)</f>
        <v>25750</v>
      </c>
      <c r="C20" s="165">
        <f>ROUND(Budget!E84+(SUMIF(Budget!$N73:$N83,"K",Budget!E73:E83)*Forudsætn.!C$192)+(SUMIF(Budget!$N73:$N83,"S",Budget!E73:E83)*Forudsætn.!C$192),0)</f>
        <v>29500</v>
      </c>
      <c r="D20" s="165">
        <f>ROUND(Budget!G84+(SUMIF(Budget!$N73:$N83,"K",Budget!G73:G83)*Forudsætn.!D$192)+(SUMIF(Budget!$N73:$N83,"S",Budget!G73:G83)*Forudsætn.!D$192),0)</f>
        <v>29500</v>
      </c>
      <c r="E20" s="165" t="e">
        <f>ROUND(Budget!#REF!+(SUMIF(Budget!$N73:$N83,"K",Budget!#REF!)*Forudsætn.!E$192)+(SUMIF(Budget!$N73:$N83,"S",Budget!#REF!)*Forudsætn.!E$192),0)</f>
        <v>#REF!</v>
      </c>
      <c r="F20" s="165" t="e">
        <f>ROUND(Budget!#REF!+(SUMIF(Budget!$N73:$N83,"K",Budget!#REF!)*Forudsætn.!F$192)+(SUMIF(Budget!$N73:$N83,"S",Budget!#REF!)*Forudsætn.!F$192),0)</f>
        <v>#REF!</v>
      </c>
      <c r="G20" s="165" t="e">
        <f>ROUND(Budget!#REF!+(SUMIF(Budget!$N73:$N83,"K",Budget!#REF!)*Forudsætn.!G$192)+(SUMIF(Budget!$N73:$N83,"S",Budget!#REF!)*Forudsætn.!G$192),0)</f>
        <v>#REF!</v>
      </c>
      <c r="H20" s="165" t="e">
        <f>ROUND(Budget!#REF!+(SUMIF(Budget!$N73:$N83,"K",Budget!#REF!)*Forudsætn.!H$192)+(SUMIF(Budget!$N73:$N83,"S",Budget!#REF!)*Forudsætn.!H$192),0)</f>
        <v>#REF!</v>
      </c>
      <c r="I20" s="165" t="e">
        <f>ROUND(Budget!#REF!+(SUMIF(Budget!$N73:$N83,"K",Budget!#REF!)*Forudsætn.!I$192)+(SUMIF(Budget!$N73:$N83,"S",Budget!#REF!)*Forudsætn.!I$192),0)</f>
        <v>#REF!</v>
      </c>
      <c r="J20" s="165" t="e">
        <f>ROUND(Budget!#REF!+(SUMIF(Budget!$N73:$N83,"K",Budget!#REF!)*Forudsætn.!J$192)+(SUMIF(Budget!$N73:$N83,"S",Budget!#REF!)*Forudsætn.!J$192),0)</f>
        <v>#REF!</v>
      </c>
      <c r="K20" s="165" t="e">
        <f>ROUND(Budget!#REF!+(SUMIF(Budget!$N73:$N83,"K",Budget!#REF!)*Forudsætn.!K$192)+(SUMIF(Budget!$N73:$N83,"S",Budget!#REF!)*Forudsætn.!K$192),0)</f>
        <v>#REF!</v>
      </c>
      <c r="L20" s="165" t="e">
        <f>ROUND(Budget!#REF!+(SUMIF(Budget!$N73:$N83,"K",Budget!#REF!)*Forudsætn.!L$192)+(SUMIF(Budget!$N73:$N83,"S",Budget!#REF!)*Forudsætn.!L$192),0)</f>
        <v>#REF!</v>
      </c>
      <c r="M20" s="165" t="e">
        <f>ROUND(Budget!#REF!+(SUMIF(Budget!$N73:$N83,"K",Budget!#REF!)*Forudsætn.!M$192)+(SUMIF(Budget!$N73:$N83,"S",Budget!#REF!)*Forudsætn.!M$192),0)</f>
        <v>#REF!</v>
      </c>
      <c r="N20" s="165" t="e">
        <f t="shared" si="1"/>
        <v>#REF!</v>
      </c>
    </row>
    <row r="21" spans="1:14" ht="14" customHeight="1">
      <c r="A21" s="123" t="s">
        <v>47</v>
      </c>
      <c r="B21" s="165">
        <f>ROUND(Budget!C111+(SUMIF(Budget!$N104:$N111,"K",Budget!C104:C111)*Forudsætn.!B$192)+(SUMIF(Budget!$N104:$N111,"S",Budget!C104:C111)*Forudsætn.!B$192),0)</f>
        <v>0</v>
      </c>
      <c r="C21" s="165">
        <f>ROUND(Budget!E111+(SUMIF(Budget!$N104:$N111,"K",Budget!E104:E111)*Forudsætn.!C$192)+(SUMIF(Budget!$N104:$N111,"S",Budget!E104:E111)*Forudsætn.!C$192),0)</f>
        <v>0</v>
      </c>
      <c r="D21" s="165">
        <f>ROUND(Budget!G111+(SUMIF(Budget!$N104:$N111,"K",Budget!G104:G111)*Forudsætn.!D$192)+(SUMIF(Budget!$N104:$N111,"S",Budget!G104:G111)*Forudsætn.!D$192),0)</f>
        <v>0</v>
      </c>
      <c r="E21" s="165" t="e">
        <f>ROUND(Budget!#REF!+(SUMIF(Budget!$N104:$N111,"K",Budget!#REF!)*Forudsætn.!E$192)+(SUMIF(Budget!$N104:$N111,"S",Budget!#REF!)*Forudsætn.!E$192),0)</f>
        <v>#REF!</v>
      </c>
      <c r="F21" s="165" t="e">
        <f>ROUND(Budget!#REF!+(SUMIF(Budget!$N104:$N111,"K",Budget!#REF!)*Forudsætn.!F$192)+(SUMIF(Budget!$N104:$N111,"S",Budget!#REF!)*Forudsætn.!F$192),0)</f>
        <v>#REF!</v>
      </c>
      <c r="G21" s="165" t="e">
        <f>ROUND(Budget!#REF!+(SUMIF(Budget!$N104:$N111,"K",Budget!#REF!)*Forudsætn.!G$192)+(SUMIF(Budget!$N104:$N111,"S",Budget!#REF!)*Forudsætn.!G$192),0)</f>
        <v>#REF!</v>
      </c>
      <c r="H21" s="165" t="e">
        <f>ROUND(Budget!#REF!+(SUMIF(Budget!$N104:$N111,"K",Budget!#REF!)*Forudsætn.!H$192)+(SUMIF(Budget!$N104:$N111,"S",Budget!#REF!)*Forudsætn.!H$192),0)</f>
        <v>#REF!</v>
      </c>
      <c r="I21" s="165" t="e">
        <f>ROUND(Budget!#REF!+(SUMIF(Budget!$N104:$N111,"K",Budget!#REF!)*Forudsætn.!I$192)+(SUMIF(Budget!$N104:$N111,"S",Budget!#REF!)*Forudsætn.!I$192),0)</f>
        <v>#REF!</v>
      </c>
      <c r="J21" s="165" t="e">
        <f>ROUND(Budget!#REF!+(SUMIF(Budget!$N104:$N111,"K",Budget!#REF!)*Forudsætn.!J$192)+(SUMIF(Budget!$N104:$N111,"S",Budget!#REF!)*Forudsætn.!J$192),0)</f>
        <v>#REF!</v>
      </c>
      <c r="K21" s="165" t="e">
        <f>ROUND(Budget!#REF!+(SUMIF(Budget!$N104:$N111,"K",Budget!#REF!)*Forudsætn.!K$192)+(SUMIF(Budget!$N104:$N111,"S",Budget!#REF!)*Forudsætn.!K$192),0)</f>
        <v>#REF!</v>
      </c>
      <c r="L21" s="165" t="e">
        <f>ROUND(Budget!#REF!+(SUMIF(Budget!$N104:$N111,"K",Budget!#REF!)*Forudsætn.!L$192)+(SUMIF(Budget!$N104:$N111,"S",Budget!#REF!)*Forudsætn.!L$192),0)</f>
        <v>#REF!</v>
      </c>
      <c r="M21" s="165" t="e">
        <f>ROUND(Budget!#REF!+(SUMIF(Budget!$N104:$N111,"K",Budget!#REF!)*Forudsætn.!M$192)+(SUMIF(Budget!$N104:$N111,"S",Budget!#REF!)*Forudsætn.!M$192),0)</f>
        <v>#REF!</v>
      </c>
      <c r="N21" s="165" t="e">
        <f t="shared" si="1"/>
        <v>#REF!</v>
      </c>
    </row>
    <row r="22" spans="1:14" ht="14" customHeight="1">
      <c r="A22" s="123" t="s">
        <v>30</v>
      </c>
      <c r="B22" s="166">
        <f>-ROUND(Forudsætn.!B204+Forudsætn.!B205,0)</f>
        <v>0</v>
      </c>
      <c r="C22" s="166">
        <f>-ROUND(Forudsætn.!C204+Forudsætn.!C205,0)</f>
        <v>0</v>
      </c>
      <c r="D22" s="166">
        <f>-ROUND(Forudsætn.!D204+Forudsætn.!D205,0)</f>
        <v>0</v>
      </c>
      <c r="E22" s="166">
        <f>-ROUND(Forudsætn.!E204+Forudsætn.!E205,0)</f>
        <v>0</v>
      </c>
      <c r="F22" s="166" t="e">
        <f>-ROUND(Forudsætn.!F204+Forudsætn.!F205,0)</f>
        <v>#REF!</v>
      </c>
      <c r="G22" s="166" t="e">
        <f>-ROUND(Forudsætn.!G204+Forudsætn.!G205,0)</f>
        <v>#REF!</v>
      </c>
      <c r="H22" s="166" t="e">
        <f>-ROUND(Forudsætn.!H204+Forudsætn.!H205,0)</f>
        <v>#REF!</v>
      </c>
      <c r="I22" s="166" t="e">
        <f>-ROUND(Forudsætn.!I204+Forudsætn.!I205,0)</f>
        <v>#REF!</v>
      </c>
      <c r="J22" s="166" t="e">
        <f>-ROUND(Forudsætn.!J204+Forudsætn.!J205,0)</f>
        <v>#REF!</v>
      </c>
      <c r="K22" s="166" t="e">
        <f>-ROUND(Forudsætn.!K204+Forudsætn.!K205,0)</f>
        <v>#REF!</v>
      </c>
      <c r="L22" s="166" t="e">
        <f>-ROUND(Forudsætn.!L204+Forudsætn.!L205,0)</f>
        <v>#REF!</v>
      </c>
      <c r="M22" s="166" t="e">
        <f>-ROUND(Forudsætn.!M204+Forudsætn.!M205,0)</f>
        <v>#REF!</v>
      </c>
      <c r="N22" s="165" t="e">
        <f t="shared" si="1"/>
        <v>#REF!</v>
      </c>
    </row>
    <row r="23" spans="1:14" ht="14" customHeight="1">
      <c r="A23" s="123" t="s">
        <v>28</v>
      </c>
      <c r="B23" s="165">
        <f>ROUND(Budget!C94+IF(Budget!$N94="K",Budget!C94*Forudsætn.!B$192,IF(Budget!$N94="S",Budget!C94*Forudsætn.!B$192,0)),0)</f>
        <v>0</v>
      </c>
      <c r="C23" s="165">
        <f>ROUND(Budget!E94+IF(Budget!$N94="K",Budget!E94*Forudsætn.!C$192,IF(Budget!$N94="S",Budget!E94*Forudsætn.!C$192,0)),0)</f>
        <v>0</v>
      </c>
      <c r="D23" s="165">
        <f>ROUND(Budget!G94+IF(Budget!$N94="K",Budget!G94*Forudsætn.!D$192,IF(Budget!$N94="S",Budget!G94*Forudsætn.!D$192,0)),0)</f>
        <v>0</v>
      </c>
      <c r="E23" s="165" t="e">
        <f>ROUND(Budget!#REF!+IF(Budget!$N94="K",Budget!#REF!*Forudsætn.!E$192,IF(Budget!$N94="S",Budget!#REF!*Forudsætn.!E$192,0)),0)</f>
        <v>#REF!</v>
      </c>
      <c r="F23" s="165" t="e">
        <f>ROUND(Budget!#REF!+IF(Budget!$N94="K",Budget!#REF!*Forudsætn.!F$192,IF(Budget!$N94="S",Budget!#REF!*Forudsætn.!F$192,0)),0)</f>
        <v>#REF!</v>
      </c>
      <c r="G23" s="165" t="e">
        <f>ROUND(Budget!#REF!+IF(Budget!$N94="K",Budget!#REF!*Forudsætn.!G$192,IF(Budget!$N94="S",Budget!#REF!*Forudsætn.!G$192,0)),0)</f>
        <v>#REF!</v>
      </c>
      <c r="H23" s="165" t="e">
        <f>ROUND(Budget!#REF!+IF(Budget!$N94="K",Budget!#REF!*Forudsætn.!H$192,IF(Budget!$N94="S",Budget!#REF!*Forudsætn.!H$192,0)),0)</f>
        <v>#REF!</v>
      </c>
      <c r="I23" s="165" t="e">
        <f>ROUND(Budget!#REF!+IF(Budget!$N94="K",Budget!#REF!*Forudsætn.!I$192,IF(Budget!$N94="S",Budget!#REF!*Forudsætn.!I$192,0)),0)</f>
        <v>#REF!</v>
      </c>
      <c r="J23" s="165" t="e">
        <f>ROUND(Budget!#REF!+IF(Budget!$N94="K",Budget!#REF!*Forudsætn.!J$192,IF(Budget!$N94="S",Budget!#REF!*Forudsætn.!J$192,0)),0)</f>
        <v>#REF!</v>
      </c>
      <c r="K23" s="165" t="e">
        <f>ROUND(Budget!#REF!+IF(Budget!$N94="K",Budget!#REF!*Forudsætn.!K$192,IF(Budget!$N94="S",Budget!#REF!*Forudsætn.!K$192,0)),0)</f>
        <v>#REF!</v>
      </c>
      <c r="L23" s="165" t="e">
        <f>ROUND(Budget!#REF!+IF(Budget!$N94="K",Budget!#REF!*Forudsætn.!L$192,IF(Budget!$N94="S",Budget!#REF!*Forudsætn.!L$192,0)),0)</f>
        <v>#REF!</v>
      </c>
      <c r="M23" s="165" t="e">
        <f>ROUND(Budget!#REF!+IF(Budget!$N94="K",Budget!#REF!*Forudsætn.!M$192,IF(Budget!$N94="S",Budget!#REF!*Forudsætn.!M$192,0)),0)</f>
        <v>#REF!</v>
      </c>
      <c r="N23" s="165" t="e">
        <f t="shared" si="1"/>
        <v>#REF!</v>
      </c>
    </row>
    <row r="24" spans="1:14" ht="14" customHeight="1">
      <c r="A24" s="123" t="s">
        <v>164</v>
      </c>
      <c r="B24" s="165">
        <f>ROUND(Forudsætn.!B25+Forudsætn.!B45+(SUMIF(Forudsætn.!$O25:$O45,"K",Forudsætn.!B25:B45)*Forudsætn.!B$192),0)</f>
        <v>0</v>
      </c>
      <c r="C24" s="165">
        <f>ROUND(Forudsætn.!C25+Forudsætn.!C45+(SUMIF(Forudsætn.!$O25:$O45,"K",Forudsætn.!C25:C45)*Forudsætn.!C$192),0)</f>
        <v>0</v>
      </c>
      <c r="D24" s="165">
        <f>ROUND(Forudsætn.!D25+Forudsætn.!D45+(SUMIF(Forudsætn.!$O25:$O45,"K",Forudsætn.!D25:D45)*Forudsætn.!D$192),0)</f>
        <v>0</v>
      </c>
      <c r="E24" s="165">
        <f>ROUND(Forudsætn.!E25+Forudsætn.!E45+(SUMIF(Forudsætn.!$O25:$O45,"K",Forudsætn.!E25:E45)*Forudsætn.!E$192),0)</f>
        <v>0</v>
      </c>
      <c r="F24" s="165">
        <f>ROUND(Forudsætn.!F25+Forudsætn.!F45+(SUMIF(Forudsætn.!$O25:$O45,"K",Forudsætn.!F25:F45)*Forudsætn.!F$192),0)</f>
        <v>0</v>
      </c>
      <c r="G24" s="165">
        <f>ROUND(Forudsætn.!G25+Forudsætn.!G45+(SUMIF(Forudsætn.!$O25:$O45,"K",Forudsætn.!G25:G45)*Forudsætn.!G$192),0)</f>
        <v>0</v>
      </c>
      <c r="H24" s="165">
        <f>ROUND(Forudsætn.!H25+Forudsætn.!H45+(SUMIF(Forudsætn.!$O25:$O45,"K",Forudsætn.!H25:H45)*Forudsætn.!H$192),0)</f>
        <v>0</v>
      </c>
      <c r="I24" s="165">
        <f>ROUND(Forudsætn.!I25+Forudsætn.!I45+(SUMIF(Forudsætn.!$O25:$O45,"K",Forudsætn.!I25:I45)*Forudsætn.!I$192),0)</f>
        <v>0</v>
      </c>
      <c r="J24" s="165">
        <f>ROUND(Forudsætn.!J25+Forudsætn.!J45+(SUMIF(Forudsætn.!$O25:$O45,"K",Forudsætn.!J25:J45)*Forudsætn.!J$192),0)</f>
        <v>0</v>
      </c>
      <c r="K24" s="165">
        <f>ROUND(Forudsætn.!K25+Forudsætn.!K45+(SUMIF(Forudsætn.!$O25:$O45,"K",Forudsætn.!K25:K45)*Forudsætn.!K$192),0)</f>
        <v>0</v>
      </c>
      <c r="L24" s="165">
        <f>ROUND(Forudsætn.!L25+Forudsætn.!L45+(SUMIF(Forudsætn.!$O25:$O45,"K",Forudsætn.!L25:L45)*Forudsætn.!L$192),0)</f>
        <v>0</v>
      </c>
      <c r="M24" s="165">
        <f>ROUND(Forudsætn.!M25+Forudsætn.!M45+(SUMIF(Forudsætn.!$O25:$O45,"K",Forudsætn.!M25:M45)*Forudsætn.!M$192),0)</f>
        <v>0</v>
      </c>
      <c r="N24" s="165">
        <f t="shared" si="1"/>
        <v>0</v>
      </c>
    </row>
    <row r="25" spans="1:14" ht="14" customHeight="1">
      <c r="A25" s="123" t="s">
        <v>163</v>
      </c>
      <c r="B25" s="165">
        <f>ROUND(Forudsætn.!B63+Forudsætn.!B83+Forudsætn.!B101+(SUMIF(Forudsætn.!$O63:$O101,"K",Forudsætn.!B63:B101)*Forudsætn.!B$192),0)</f>
        <v>0</v>
      </c>
      <c r="C25" s="165">
        <f>ROUND(Forudsætn.!C63+Forudsætn.!C83+Forudsætn.!C101+(SUMIF(Forudsætn.!$O63:$O101,"K",Forudsætn.!C63:C101)*Forudsætn.!C$192),0)</f>
        <v>0</v>
      </c>
      <c r="D25" s="165">
        <f>ROUND(Forudsætn.!D63+Forudsætn.!D83+Forudsætn.!D101+(SUMIF(Forudsætn.!$O63:$O101,"K",Forudsætn.!D63:D101)*Forudsætn.!D$192),0)</f>
        <v>0</v>
      </c>
      <c r="E25" s="165">
        <f>ROUND(Forudsætn.!E63+Forudsætn.!E83+Forudsætn.!E101+(SUMIF(Forudsætn.!$O63:$O101,"K",Forudsætn.!E63:E101)*Forudsætn.!E$192),0)</f>
        <v>0</v>
      </c>
      <c r="F25" s="165">
        <f>ROUND(Forudsætn.!F63+Forudsætn.!F83+Forudsætn.!F101+(SUMIF(Forudsætn.!$O63:$O101,"K",Forudsætn.!F63:F101)*Forudsætn.!F$192),0)</f>
        <v>0</v>
      </c>
      <c r="G25" s="165">
        <f>ROUND(Forudsætn.!G63+Forudsætn.!G83+Forudsætn.!G101+(SUMIF(Forudsætn.!$O63:$O101,"K",Forudsætn.!G63:G101)*Forudsætn.!G$192),0)</f>
        <v>0</v>
      </c>
      <c r="H25" s="165">
        <f>ROUND(Forudsætn.!H63+Forudsætn.!H83+Forudsætn.!H101+(SUMIF(Forudsætn.!$O63:$O101,"K",Forudsætn.!H63:H101)*Forudsætn.!H$192),0)</f>
        <v>0</v>
      </c>
      <c r="I25" s="165">
        <f>ROUND(Forudsætn.!I63+Forudsætn.!I83+Forudsætn.!I101+(SUMIF(Forudsætn.!$O63:$O101,"K",Forudsætn.!I63:I101)*Forudsætn.!I$192),0)</f>
        <v>0</v>
      </c>
      <c r="J25" s="165">
        <f>ROUND(Forudsætn.!J63+Forudsætn.!J83+Forudsætn.!J101+(SUMIF(Forudsætn.!$O63:$O101,"K",Forudsætn.!J63:J101)*Forudsætn.!J$192),0)</f>
        <v>0</v>
      </c>
      <c r="K25" s="165">
        <f>ROUND(Forudsætn.!K63+Forudsætn.!K83+Forudsætn.!K101+(SUMIF(Forudsætn.!$O63:$O101,"K",Forudsætn.!K63:K101)*Forudsætn.!K$192),0)</f>
        <v>0</v>
      </c>
      <c r="L25" s="165">
        <f>ROUND(Forudsætn.!L63+Forudsætn.!L83+Forudsætn.!L101+(SUMIF(Forudsætn.!$O63:$O101,"K",Forudsætn.!L63:L101)*Forudsætn.!L$192),0)</f>
        <v>0</v>
      </c>
      <c r="M25" s="165">
        <f>ROUND(Forudsætn.!M63+Forudsætn.!M83+Forudsætn.!M101+(SUMIF(Forudsætn.!$O63:$O101,"K",Forudsætn.!M63:M101)*Forudsætn.!M$192),0)</f>
        <v>0</v>
      </c>
      <c r="N25" s="165">
        <f>ROUND(SUM(B25:M25),0)</f>
        <v>0</v>
      </c>
    </row>
    <row r="26" spans="1:14" ht="14" customHeight="1">
      <c r="A26" s="123" t="s">
        <v>189</v>
      </c>
      <c r="B26" s="165">
        <f>-ROUND(-Balance!D16+Balance!C16,0)</f>
        <v>0</v>
      </c>
      <c r="C26" s="165">
        <f>-ROUND(-Balance!E16+Balance!D16,0)</f>
        <v>0</v>
      </c>
      <c r="D26" s="165">
        <f>-ROUND(-Balance!F16+Balance!E16,0)</f>
        <v>0</v>
      </c>
      <c r="E26" s="165" t="e">
        <f>-ROUND(-Balance!#REF!+Balance!F16,0)</f>
        <v>#REF!</v>
      </c>
      <c r="F26" s="165" t="e">
        <f>-ROUND(-Balance!#REF!+Balance!#REF!,0)</f>
        <v>#REF!</v>
      </c>
      <c r="G26" s="165" t="e">
        <f>-ROUND(-Balance!#REF!+Balance!#REF!,0)</f>
        <v>#REF!</v>
      </c>
      <c r="H26" s="165" t="e">
        <f>-ROUND(-Balance!#REF!+Balance!#REF!,0)</f>
        <v>#REF!</v>
      </c>
      <c r="I26" s="165" t="e">
        <f>-ROUND(-Balance!#REF!+Balance!#REF!,0)</f>
        <v>#REF!</v>
      </c>
      <c r="J26" s="165" t="e">
        <f>-ROUND(-Balance!#REF!+Balance!#REF!,0)</f>
        <v>#REF!</v>
      </c>
      <c r="K26" s="165" t="e">
        <f>-ROUND(-Balance!#REF!+Balance!#REF!,0)</f>
        <v>#REF!</v>
      </c>
      <c r="L26" s="165" t="e">
        <f>-ROUND(-Balance!#REF!+Balance!#REF!,0)</f>
        <v>#REF!</v>
      </c>
      <c r="M26" s="165" t="e">
        <f>-ROUND(-Balance!#REF!+Balance!#REF!,0)</f>
        <v>#REF!</v>
      </c>
      <c r="N26" s="165"/>
    </row>
    <row r="27" spans="1:14" ht="14" customHeight="1">
      <c r="A27" s="123" t="s">
        <v>162</v>
      </c>
      <c r="B27" s="165">
        <f>ROUND(Forudsætn.!B130+Forudsætn.!B142+Forudsætn.!B155+Forudsætn.!B167+Forudsætn.!B179-SUM(Budget!C106:'Budget'!C110),0)</f>
        <v>0</v>
      </c>
      <c r="C27" s="165">
        <f>ROUND(Forudsætn.!C130+Forudsætn.!C142+Forudsætn.!C155+Forudsætn.!C167+Forudsætn.!C179-SUM(Budget!E106:'Budget'!E110),0)</f>
        <v>0</v>
      </c>
      <c r="D27" s="165">
        <f>ROUND(Forudsætn.!D130+Forudsætn.!D142+Forudsætn.!D155+Forudsætn.!D167+Forudsætn.!D179-SUM(Budget!G106:'Budget'!G110),0)</f>
        <v>0</v>
      </c>
      <c r="E27" s="165" t="e">
        <f>ROUND(Forudsætn.!E130+Forudsætn.!E142+Forudsætn.!E155+Forudsætn.!E167+Forudsætn.!E179-SUM(Budget!#REF!:Budget!#REF!),0)</f>
        <v>#REF!</v>
      </c>
      <c r="F27" s="165" t="e">
        <f>ROUND(Forudsætn.!F130+Forudsætn.!F142+Forudsætn.!F155+Forudsætn.!F167+Forudsætn.!F179-SUM(Budget!#REF!:Budget!#REF!),0)</f>
        <v>#REF!</v>
      </c>
      <c r="G27" s="165" t="e">
        <f>ROUND(Forudsætn.!G130+Forudsætn.!G142+Forudsætn.!G155+Forudsætn.!G167+Forudsætn.!G179-SUM(Budget!#REF!:Budget!#REF!),0)</f>
        <v>#REF!</v>
      </c>
      <c r="H27" s="165" t="e">
        <f>ROUND(Forudsætn.!H130+Forudsætn.!H142+Forudsætn.!H155+Forudsætn.!H167+Forudsætn.!H179-SUM(Budget!#REF!:Budget!#REF!),0)</f>
        <v>#REF!</v>
      </c>
      <c r="I27" s="165" t="e">
        <f>ROUND(Forudsætn.!I130+Forudsætn.!I142+Forudsætn.!I155+Forudsætn.!I167+Forudsætn.!I179-SUM(Budget!#REF!:Budget!#REF!),0)</f>
        <v>#REF!</v>
      </c>
      <c r="J27" s="165" t="e">
        <f>ROUND(Forudsætn.!J130+Forudsætn.!J142+Forudsætn.!J155+Forudsætn.!J167+Forudsætn.!J179-SUM(Budget!#REF!:Budget!#REF!),0)</f>
        <v>#REF!</v>
      </c>
      <c r="K27" s="165" t="e">
        <f>ROUND(Forudsætn.!K130+Forudsætn.!K142+Forudsætn.!K155+Forudsætn.!K167+Forudsætn.!K179-SUM(Budget!#REF!:Budget!#REF!),0)</f>
        <v>#REF!</v>
      </c>
      <c r="L27" s="165" t="e">
        <f>ROUND(Forudsætn.!L130+Forudsætn.!L142+Forudsætn.!L155+Forudsætn.!L167+Forudsætn.!L179-SUM(Budget!#REF!:Budget!#REF!),0)</f>
        <v>#REF!</v>
      </c>
      <c r="M27" s="165" t="e">
        <f>ROUND(Forudsætn.!M130+Forudsætn.!M142+Forudsætn.!M155+Forudsætn.!M167+Forudsætn.!M179-SUM(Budget!#REF!:Budget!#REF!),0)</f>
        <v>#REF!</v>
      </c>
      <c r="N27" s="165" t="e">
        <f>ROUND(SUM(B27:M27),0)</f>
        <v>#REF!</v>
      </c>
    </row>
    <row r="28" spans="1:14" ht="14" customHeight="1">
      <c r="A28" s="123" t="s">
        <v>165</v>
      </c>
      <c r="B28" s="170">
        <v>0</v>
      </c>
      <c r="C28" s="170">
        <v>0</v>
      </c>
      <c r="D28" s="170">
        <v>0</v>
      </c>
      <c r="E28" s="170">
        <v>0</v>
      </c>
      <c r="F28" s="170">
        <v>0</v>
      </c>
      <c r="G28" s="170">
        <v>0</v>
      </c>
      <c r="H28" s="170">
        <v>0</v>
      </c>
      <c r="I28" s="170">
        <v>0</v>
      </c>
      <c r="J28" s="170">
        <v>0</v>
      </c>
      <c r="K28" s="170">
        <v>0</v>
      </c>
      <c r="L28" s="170">
        <v>0</v>
      </c>
      <c r="M28" s="170">
        <v>0</v>
      </c>
      <c r="N28" s="165">
        <f>ROUND(SUM(B28:M28),0)</f>
        <v>0</v>
      </c>
    </row>
    <row r="29" spans="1:14" ht="14" customHeight="1">
      <c r="A29" s="123" t="s">
        <v>42</v>
      </c>
      <c r="B29" s="165">
        <f>ROUND(+Balance!C44-Balance!D44+Balance!C66-Balance!D66,0)</f>
        <v>0</v>
      </c>
      <c r="C29" s="165">
        <f>ROUND(+Balance!D44-Balance!E44+Balance!D66-Balance!E66,0)</f>
        <v>0</v>
      </c>
      <c r="D29" s="165">
        <f>ROUND(+Balance!E44-Balance!F44+Balance!E66-Balance!F66,0)</f>
        <v>0</v>
      </c>
      <c r="E29" s="165" t="e">
        <f>ROUND(+Balance!F44-Balance!#REF!+Balance!F66-Balance!#REF!,0)</f>
        <v>#REF!</v>
      </c>
      <c r="F29" s="165" t="e">
        <f>ROUND(+Balance!#REF!-Balance!#REF!+Balance!#REF!-Balance!#REF!,0)</f>
        <v>#REF!</v>
      </c>
      <c r="G29" s="165" t="e">
        <f>ROUND(+Balance!#REF!-Balance!#REF!+Balance!#REF!-Balance!#REF!,0)</f>
        <v>#REF!</v>
      </c>
      <c r="H29" s="165" t="e">
        <f>ROUND(+Balance!#REF!-Balance!#REF!+Balance!#REF!-Balance!#REF!,0)</f>
        <v>#REF!</v>
      </c>
      <c r="I29" s="165" t="e">
        <f>ROUND(+Balance!#REF!-Balance!#REF!+Balance!#REF!-Balance!#REF!,0)</f>
        <v>#REF!</v>
      </c>
      <c r="J29" s="165" t="e">
        <f>ROUND(+Balance!#REF!-Balance!#REF!+Balance!#REF!-Balance!#REF!,0)</f>
        <v>#REF!</v>
      </c>
      <c r="K29" s="165" t="e">
        <f>ROUND(+Balance!#REF!-Balance!#REF!+Balance!#REF!-Balance!#REF!,0)</f>
        <v>#REF!</v>
      </c>
      <c r="L29" s="165" t="e">
        <f>ROUND(+Balance!#REF!-Balance!#REF!+Balance!#REF!-Balance!#REF!,0)</f>
        <v>#REF!</v>
      </c>
      <c r="M29" s="165" t="e">
        <f>ROUND(+Balance!#REF!-Balance!#REF!+Balance!#REF!-Balance!#REF!,0)</f>
        <v>#REF!</v>
      </c>
      <c r="N29" s="165" t="e">
        <f>ROUND(SUM(B29:M29),0)</f>
        <v>#REF!</v>
      </c>
    </row>
    <row r="30" spans="1:14" ht="14" customHeight="1">
      <c r="A30" s="123" t="s">
        <v>184</v>
      </c>
      <c r="B30" s="165">
        <f>-Balance!D65-Balance!D63+Balance!C65+Balance!C63+Balance!D23-Balance!C23</f>
        <v>-25000</v>
      </c>
      <c r="C30" s="165">
        <f>-Balance!E65-Balance!E63+Balance!D65+Balance!D63+Balance!E23-Balance!D23</f>
        <v>0</v>
      </c>
      <c r="D30" s="165">
        <f>-Balance!F65-Balance!F63+Balance!E65+Balance!E63+Balance!F23-Balance!E23</f>
        <v>0</v>
      </c>
      <c r="E30" s="165" t="e">
        <f>-Balance!#REF!-Balance!#REF!+Balance!F65+Balance!F63+Balance!#REF!-Balance!F23</f>
        <v>#REF!</v>
      </c>
      <c r="F30" s="165" t="e">
        <f>-Balance!#REF!-Balance!#REF!+Balance!#REF!+Balance!#REF!+Balance!#REF!-Balance!#REF!</f>
        <v>#REF!</v>
      </c>
      <c r="G30" s="165" t="e">
        <f>-Balance!#REF!-Balance!#REF!+Balance!#REF!+Balance!#REF!+Balance!#REF!-Balance!#REF!</f>
        <v>#REF!</v>
      </c>
      <c r="H30" s="165" t="e">
        <f>-Balance!#REF!-Balance!#REF!+Balance!#REF!+Balance!#REF!+Balance!#REF!-Balance!#REF!</f>
        <v>#REF!</v>
      </c>
      <c r="I30" s="165" t="e">
        <f>-Balance!#REF!-Balance!#REF!+Balance!#REF!+Balance!#REF!+Balance!#REF!-Balance!#REF!</f>
        <v>#REF!</v>
      </c>
      <c r="J30" s="165" t="e">
        <f>-Balance!#REF!-Balance!#REF!+Balance!#REF!+Balance!#REF!+Balance!#REF!-Balance!#REF!</f>
        <v>#REF!</v>
      </c>
      <c r="K30" s="165" t="e">
        <f>-Balance!#REF!-Balance!#REF!+Balance!#REF!+Balance!#REF!+Balance!#REF!-Balance!#REF!</f>
        <v>#REF!</v>
      </c>
      <c r="L30" s="165" t="e">
        <f>-Balance!#REF!-Balance!#REF!+Balance!#REF!+Balance!#REF!+Balance!#REF!-Balance!#REF!</f>
        <v>#REF!</v>
      </c>
      <c r="M30" s="165" t="e">
        <f>-Balance!#REF!-Balance!#REF!+Balance!#REF!+Balance!#REF!+Balance!#REF!-Balance!#REF!</f>
        <v>#REF!</v>
      </c>
      <c r="N30" s="165" t="e">
        <f>ROUND(SUM(B30:M30),0)</f>
        <v>#REF!</v>
      </c>
    </row>
    <row r="31" spans="1:14" ht="21" customHeight="1">
      <c r="A31" s="119" t="s">
        <v>243</v>
      </c>
      <c r="B31" s="167">
        <f>ROUND(SUM(B14:B30),0)</f>
        <v>234250</v>
      </c>
      <c r="C31" s="167">
        <f t="shared" ref="C31:M31" si="2">ROUND(SUM(C14:C30),0)</f>
        <v>282500</v>
      </c>
      <c r="D31" s="167">
        <f t="shared" si="2"/>
        <v>297000</v>
      </c>
      <c r="E31" s="167" t="e">
        <f t="shared" si="2"/>
        <v>#REF!</v>
      </c>
      <c r="F31" s="167" t="e">
        <f t="shared" si="2"/>
        <v>#REF!</v>
      </c>
      <c r="G31" s="167" t="e">
        <f t="shared" si="2"/>
        <v>#REF!</v>
      </c>
      <c r="H31" s="167" t="e">
        <f t="shared" si="2"/>
        <v>#REF!</v>
      </c>
      <c r="I31" s="167" t="e">
        <f t="shared" si="2"/>
        <v>#REF!</v>
      </c>
      <c r="J31" s="167" t="e">
        <f t="shared" si="2"/>
        <v>#REF!</v>
      </c>
      <c r="K31" s="167" t="e">
        <f t="shared" si="2"/>
        <v>#REF!</v>
      </c>
      <c r="L31" s="167" t="e">
        <f t="shared" si="2"/>
        <v>#REF!</v>
      </c>
      <c r="M31" s="167" t="e">
        <f t="shared" si="2"/>
        <v>#REF!</v>
      </c>
      <c r="N31" s="167" t="e">
        <f>ROUND(SUM(N14:N29),0)</f>
        <v>#REF!</v>
      </c>
    </row>
    <row r="32" spans="1:14">
      <c r="A32" s="123"/>
      <c r="B32" s="165"/>
      <c r="C32" s="165"/>
      <c r="D32" s="165"/>
      <c r="E32" s="165"/>
      <c r="F32" s="165"/>
      <c r="G32" s="165"/>
      <c r="H32" s="108"/>
      <c r="I32" s="108"/>
      <c r="J32" s="108"/>
      <c r="K32" s="108"/>
      <c r="L32" s="108"/>
      <c r="M32" s="165"/>
      <c r="N32" s="168"/>
    </row>
    <row r="33" spans="1:14">
      <c r="A33" s="119" t="s">
        <v>158</v>
      </c>
      <c r="B33" s="168">
        <f t="shared" ref="B33:N33" si="3">ROUND(B11-B31,0)</f>
        <v>-41750</v>
      </c>
      <c r="C33" s="168">
        <f t="shared" si="3"/>
        <v>-44900</v>
      </c>
      <c r="D33" s="168">
        <f t="shared" si="3"/>
        <v>-49550</v>
      </c>
      <c r="E33" s="168" t="e">
        <f t="shared" si="3"/>
        <v>#REF!</v>
      </c>
      <c r="F33" s="168" t="e">
        <f t="shared" si="3"/>
        <v>#REF!</v>
      </c>
      <c r="G33" s="168" t="e">
        <f t="shared" si="3"/>
        <v>#REF!</v>
      </c>
      <c r="H33" s="168" t="e">
        <f t="shared" si="3"/>
        <v>#REF!</v>
      </c>
      <c r="I33" s="168" t="e">
        <f t="shared" si="3"/>
        <v>#REF!</v>
      </c>
      <c r="J33" s="168" t="e">
        <f t="shared" si="3"/>
        <v>#REF!</v>
      </c>
      <c r="K33" s="168" t="e">
        <f t="shared" si="3"/>
        <v>#REF!</v>
      </c>
      <c r="L33" s="168" t="e">
        <f t="shared" si="3"/>
        <v>#REF!</v>
      </c>
      <c r="M33" s="168" t="e">
        <f t="shared" si="3"/>
        <v>#REF!</v>
      </c>
      <c r="N33" s="168" t="e">
        <f t="shared" si="3"/>
        <v>#REF!</v>
      </c>
    </row>
    <row r="34" spans="1:14" ht="21" customHeight="1">
      <c r="A34" s="123" t="s">
        <v>43</v>
      </c>
      <c r="B34" s="165">
        <f>-Balance!C57+Balance!C26</f>
        <v>159455</v>
      </c>
      <c r="C34" s="165">
        <f>+B38</f>
        <v>117705</v>
      </c>
      <c r="D34" s="165">
        <f t="shared" ref="D34:M34" si="4">+C38</f>
        <v>72805</v>
      </c>
      <c r="E34" s="165">
        <f t="shared" si="4"/>
        <v>23255</v>
      </c>
      <c r="F34" s="165" t="e">
        <f t="shared" si="4"/>
        <v>#REF!</v>
      </c>
      <c r="G34" s="165" t="e">
        <f t="shared" si="4"/>
        <v>#REF!</v>
      </c>
      <c r="H34" s="165" t="e">
        <f t="shared" si="4"/>
        <v>#REF!</v>
      </c>
      <c r="I34" s="165" t="e">
        <f t="shared" si="4"/>
        <v>#REF!</v>
      </c>
      <c r="J34" s="165" t="e">
        <f t="shared" si="4"/>
        <v>#REF!</v>
      </c>
      <c r="K34" s="165" t="e">
        <f t="shared" si="4"/>
        <v>#REF!</v>
      </c>
      <c r="L34" s="165" t="e">
        <f t="shared" si="4"/>
        <v>#REF!</v>
      </c>
      <c r="M34" s="165" t="e">
        <f t="shared" si="4"/>
        <v>#REF!</v>
      </c>
      <c r="N34" s="165"/>
    </row>
    <row r="35" spans="1:14">
      <c r="A35" s="123" t="s">
        <v>46</v>
      </c>
      <c r="B35" s="165">
        <f>Balance!C27-Balance!D27</f>
        <v>0</v>
      </c>
      <c r="C35" s="165">
        <f>Balance!D27-Balance!E27</f>
        <v>0</v>
      </c>
      <c r="D35" s="165">
        <f>Balance!E27-Balance!F27</f>
        <v>0</v>
      </c>
      <c r="E35" s="165" t="e">
        <f>Balance!F27-Balance!#REF!</f>
        <v>#REF!</v>
      </c>
      <c r="F35" s="165" t="e">
        <f>Balance!#REF!-Balance!#REF!</f>
        <v>#REF!</v>
      </c>
      <c r="G35" s="165" t="e">
        <f>Balance!#REF!-Balance!#REF!</f>
        <v>#REF!</v>
      </c>
      <c r="H35" s="165" t="e">
        <f>Balance!#REF!-Balance!#REF!</f>
        <v>#REF!</v>
      </c>
      <c r="I35" s="165" t="e">
        <f>Balance!#REF!-Balance!#REF!</f>
        <v>#REF!</v>
      </c>
      <c r="J35" s="165" t="e">
        <f>Balance!#REF!-Balance!#REF!</f>
        <v>#REF!</v>
      </c>
      <c r="K35" s="165" t="e">
        <f>Balance!#REF!-Balance!#REF!</f>
        <v>#REF!</v>
      </c>
      <c r="L35" s="165" t="e">
        <f>Balance!#REF!-Balance!#REF!</f>
        <v>#REF!</v>
      </c>
      <c r="M35" s="165" t="e">
        <f>Balance!#REF!-Balance!#REF!</f>
        <v>#REF!</v>
      </c>
      <c r="N35" s="165"/>
    </row>
    <row r="36" spans="1:14" ht="21" customHeight="1">
      <c r="A36" s="124" t="s">
        <v>135</v>
      </c>
      <c r="B36" s="167">
        <f t="shared" ref="B36:M36" si="5">ROUND(SUM(B33:B35),0)</f>
        <v>117705</v>
      </c>
      <c r="C36" s="167">
        <f t="shared" si="5"/>
        <v>72805</v>
      </c>
      <c r="D36" s="167">
        <f t="shared" si="5"/>
        <v>23255</v>
      </c>
      <c r="E36" s="167" t="e">
        <f t="shared" si="5"/>
        <v>#REF!</v>
      </c>
      <c r="F36" s="167" t="e">
        <f t="shared" si="5"/>
        <v>#REF!</v>
      </c>
      <c r="G36" s="167" t="e">
        <f t="shared" si="5"/>
        <v>#REF!</v>
      </c>
      <c r="H36" s="167" t="e">
        <f t="shared" si="5"/>
        <v>#REF!</v>
      </c>
      <c r="I36" s="167" t="e">
        <f t="shared" si="5"/>
        <v>#REF!</v>
      </c>
      <c r="J36" s="167" t="e">
        <f t="shared" si="5"/>
        <v>#REF!</v>
      </c>
      <c r="K36" s="167" t="e">
        <f t="shared" si="5"/>
        <v>#REF!</v>
      </c>
      <c r="L36" s="167" t="e">
        <f t="shared" si="5"/>
        <v>#REF!</v>
      </c>
      <c r="M36" s="167" t="e">
        <f t="shared" si="5"/>
        <v>#REF!</v>
      </c>
      <c r="N36" s="167"/>
    </row>
    <row r="37" spans="1:14">
      <c r="A37" s="117" t="s">
        <v>129</v>
      </c>
      <c r="B37" s="164">
        <f>ROUND(IF(Forudsætn.!$B$120="x",IF((B34+B36)&gt;0,(B34+B36)/2*Forudsætn.!B117/12,(B34+B36)/2*Forudsætn.!B118/12),IF(Forudsætn.!$B$121="x",IF((B34+B36)&gt;0,(B34+B36)/2*Forudsætn.!B117/4,(B34+B36)/2*Forudsætn.!B118/4),IF(Forudsætn.!$B$122="x",IF((B34+B36)&gt;0,(B34+B36)/2*Forudsætn.!B117/2,(B34+B36)/2*Forudsætn.!B118/2),IF(Forudsætn.!$B$123="x",IF((B34+B36)&gt;0,(B34+B36)/2*Forudsætn.!B117,(B34+B36)/2*Forudsætn.!B118),0)))),0)</f>
        <v>0</v>
      </c>
      <c r="C37" s="164">
        <f>ROUND(IF(Forudsætn.!$B$120="x",IF((C34+C36)&gt;0,(C34+C36)/2*Forudsætn.!C117/12,(C34+C36)/2*Forudsætn.!C118/12),IF(Forudsætn.!$B$121="x",IF((C34+C36)&gt;0,(C34+C36)/2*Forudsætn.!C117/4,(C34+C36)/2*Forudsætn.!C118/4),IF(Forudsætn.!$B$122="x",IF((C34+C36)&gt;0,(C34+C36)/2*Forudsætn.!C117/2,(C34+C36)/2*Forudsætn.!C118/2),IF(Forudsætn.!$B$123="x",IF((C34+C36)&gt;0,(C34+C36)/2*Forudsætn.!C117,(C34+C36)/2*Forudsætn.!C118),0)))),0)</f>
        <v>0</v>
      </c>
      <c r="D37" s="164">
        <f>ROUND(IF(Forudsætn.!$B$120="x",IF((D34+D36)&gt;0,(D34+D36)/2*Forudsætn.!D117/12,(D34+D36)/2*Forudsætn.!D118/12),IF(Forudsætn.!$B$121="x",IF((D34+D36)&gt;0,(D34+D36)/2*Forudsætn.!D117/4,(D34+D36)/2*Forudsætn.!D118/4),IF(Forudsætn.!$B$122="x",IF((D34+D36)&gt;0,(D34+D36)/2*Forudsætn.!D117/2,(D34+D36)/2*Forudsætn.!D118/2),IF(Forudsætn.!$B$123="x",IF((D34+D36)&gt;0,(D34+D36)/2*Forudsætn.!D117,(D34+D36)/2*Forudsætn.!D118),0)))),0)</f>
        <v>0</v>
      </c>
      <c r="E37" s="164" t="e">
        <f>ROUND(IF(Forudsætn.!$B$120="x",IF((E34+E36)&gt;0,(E34+E36)/2*Forudsætn.!E117/12,(E34+E36)/2*Forudsætn.!E118/12),IF(Forudsætn.!$B$121="x",IF((E34+E36)&gt;0,(E34+E36)/2*Forudsætn.!E117/4,(E34+E36)/2*Forudsætn.!E118/4),IF(Forudsætn.!$B$122="x",IF((E34+E36)&gt;0,(E34+E36)/2*Forudsætn.!E117/2,(E34+E36)/2*Forudsætn.!E118/2),IF(Forudsætn.!$B$123="x",IF((E34+E36)&gt;0,(E34+E36)/2*Forudsætn.!E117,(E34+E36)/2*Forudsætn.!E118),0)))),0)</f>
        <v>#REF!</v>
      </c>
      <c r="F37" s="164" t="e">
        <f>ROUND(IF(Forudsætn.!$B$120="x",IF((F34+F36)&gt;0,(F34+F36)/2*Forudsætn.!F117/12,(F34+F36)/2*Forudsætn.!F118/12),IF(Forudsætn.!$B$121="x",IF((F34+F36)&gt;0,(F34+F36)/2*Forudsætn.!F117/4,(F34+F36)/2*Forudsætn.!F118/4),IF(Forudsætn.!$B$122="x",IF((F34+F36)&gt;0,(F34+F36)/2*Forudsætn.!F117/2,(F34+F36)/2*Forudsætn.!F118/2),IF(Forudsætn.!$B$123="x",IF((F34+F36)&gt;0,(F34+F36)/2*Forudsætn.!F117,(F34+F36)/2*Forudsætn.!F118),0)))),0)</f>
        <v>#REF!</v>
      </c>
      <c r="G37" s="164" t="e">
        <f>ROUND(IF(Forudsætn.!$B$120="x",IF((G34+G36)&gt;0,(G34+G36)/2*Forudsætn.!G117/12,(G34+G36)/2*Forudsætn.!G118/12),IF(Forudsætn.!$B$121="x",IF((G34+G36)&gt;0,(G34+G36)/2*Forudsætn.!G117/4,(G34+G36)/2*Forudsætn.!G118/4),IF(Forudsætn.!$B$122="x",IF((G34+G36)&gt;0,(G34+G36)/2*Forudsætn.!G117/2,(G34+G36)/2*Forudsætn.!G118/2),IF(Forudsætn.!$B$123="x",IF((G34+G36)&gt;0,(G34+G36)/2*Forudsætn.!G117,(G34+G36)/2*Forudsætn.!G118),0)))),0)</f>
        <v>#REF!</v>
      </c>
      <c r="H37" s="164" t="e">
        <f>ROUND(IF(Forudsætn.!$B$120="x",IF((H34+H36)&gt;0,(H34+H36)/2*Forudsætn.!H117/12,(H34+H36)/2*Forudsætn.!H118/12),IF(Forudsætn.!$B$121="x",IF((H34+H36)&gt;0,(H34+H36)/2*Forudsætn.!H117/4,(H34+H36)/2*Forudsætn.!H118/4),IF(Forudsætn.!$B$122="x",IF((H34+H36)&gt;0,(H34+H36)/2*Forudsætn.!H117/2,(H34+H36)/2*Forudsætn.!H118/2),IF(Forudsætn.!$B$123="x",IF((H34+H36)&gt;0,(H34+H36)/2*Forudsætn.!H117,(H34+H36)/2*Forudsætn.!H118),0)))),0)</f>
        <v>#REF!</v>
      </c>
      <c r="I37" s="164" t="e">
        <f>ROUND(IF(Forudsætn.!$B$120="x",IF((I34+I36)&gt;0,(I34+I36)/2*Forudsætn.!I117/12,(I34+I36)/2*Forudsætn.!I118/12),IF(Forudsætn.!$B$121="x",IF((I34+I36)&gt;0,(I34+I36)/2*Forudsætn.!I117/4,(I34+I36)/2*Forudsætn.!I118/4),IF(Forudsætn.!$B$122="x",IF((I34+I36)&gt;0,(I34+I36)/2*Forudsætn.!I117/2,(I34+I36)/2*Forudsætn.!I118/2),IF(Forudsætn.!$B$123="x",IF((I34+I36)&gt;0,(I34+I36)/2*Forudsætn.!I117,(I34+I36)/2*Forudsætn.!I118),0)))),0)</f>
        <v>#REF!</v>
      </c>
      <c r="J37" s="164" t="e">
        <f>ROUND(IF(Forudsætn.!$B$120="x",IF((J34+J36)&gt;0,(J34+J36)/2*Forudsætn.!J117/12,(J34+J36)/2*Forudsætn.!J118/12),IF(Forudsætn.!$B$121="x",IF((J34+J36)&gt;0,(J34+J36)/2*Forudsætn.!J117/4,(J34+J36)/2*Forudsætn.!J118/4),IF(Forudsætn.!$B$122="x",IF((J34+J36)&gt;0,(J34+J36)/2*Forudsætn.!J117/2,(J34+J36)/2*Forudsætn.!J118/2),IF(Forudsætn.!$B$123="x",IF((J34+J36)&gt;0,(J34+J36)/2*Forudsætn.!J117,(J34+J36)/2*Forudsætn.!J118),0)))),0)</f>
        <v>#REF!</v>
      </c>
      <c r="K37" s="164" t="e">
        <f>ROUND(IF(Forudsætn.!$B$120="x",IF((K34+K36)&gt;0,(K34+K36)/2*Forudsætn.!K117/12,(K34+K36)/2*Forudsætn.!K118/12),IF(Forudsætn.!$B$121="x",IF((K34+K36)&gt;0,(K34+K36)/2*Forudsætn.!K117/4,(K34+K36)/2*Forudsætn.!K118/4),IF(Forudsætn.!$B$122="x",IF((K34+K36)&gt;0,(K34+K36)/2*Forudsætn.!K117/2,(K34+K36)/2*Forudsætn.!K118/2),IF(Forudsætn.!$B$123="x",IF((K34+K36)&gt;0,(K34+K36)/2*Forudsætn.!K117,(K34+K36)/2*Forudsætn.!K118),0)))),0)</f>
        <v>#REF!</v>
      </c>
      <c r="L37" s="164" t="e">
        <f>ROUND(IF(Forudsætn.!$B$120="x",IF((L34+L36)&gt;0,(L34+L36)/2*Forudsætn.!L117/12,(L34+L36)/2*Forudsætn.!L118/12),IF(Forudsætn.!$B$121="x",IF((L34+L36)&gt;0,(L34+L36)/2*Forudsætn.!L117/4,(L34+L36)/2*Forudsætn.!L118/4),IF(Forudsætn.!$B$122="x",IF((L34+L36)&gt;0,(L34+L36)/2*Forudsætn.!L117/2,(L34+L36)/2*Forudsætn.!L118/2),IF(Forudsætn.!$B$123="x",IF((L34+L36)&gt;0,(L34+L36)/2*Forudsætn.!L117,(L34+L36)/2*Forudsætn.!L118),0)))),0)</f>
        <v>#REF!</v>
      </c>
      <c r="M37" s="164" t="e">
        <f>ROUND(IF(Forudsætn.!$B$120="x",IF((M34+M36)&gt;0,(M34+M36)/2*Forudsætn.!M117/12,(M34+M36)/2*Forudsætn.!M118/12),IF(Forudsætn.!$B$121="x",IF((M34+M36)&gt;0,(M34+M36)/2*Forudsætn.!M117/4,(M34+M36)/2*Forudsætn.!M118/4),IF(Forudsætn.!$B$122="x",IF((M34+M36)&gt;0,(M34+M36)/2*Forudsætn.!M117/2,(M34+M36)/2*Forudsætn.!M118/2),IF(Forudsætn.!$B$123="x",IF((M34+M36)&gt;0,(M34+M36)/2*Forudsætn.!M117,(M34+M36)/2*Forudsætn.!M118),0)))),0)</f>
        <v>#REF!</v>
      </c>
      <c r="N37" s="165"/>
    </row>
    <row r="38" spans="1:14" ht="21" customHeight="1">
      <c r="A38" s="125" t="s">
        <v>57</v>
      </c>
      <c r="B38" s="167">
        <f t="shared" ref="B38:M38" si="6">ROUND(SUM(B36:B37),0)</f>
        <v>117705</v>
      </c>
      <c r="C38" s="167">
        <f t="shared" si="6"/>
        <v>72805</v>
      </c>
      <c r="D38" s="167">
        <f t="shared" si="6"/>
        <v>23255</v>
      </c>
      <c r="E38" s="167" t="e">
        <f t="shared" si="6"/>
        <v>#REF!</v>
      </c>
      <c r="F38" s="167" t="e">
        <f t="shared" si="6"/>
        <v>#REF!</v>
      </c>
      <c r="G38" s="167" t="e">
        <f t="shared" si="6"/>
        <v>#REF!</v>
      </c>
      <c r="H38" s="167" t="e">
        <f t="shared" si="6"/>
        <v>#REF!</v>
      </c>
      <c r="I38" s="167" t="e">
        <f t="shared" si="6"/>
        <v>#REF!</v>
      </c>
      <c r="J38" s="167" t="e">
        <f t="shared" si="6"/>
        <v>#REF!</v>
      </c>
      <c r="K38" s="167" t="e">
        <f t="shared" si="6"/>
        <v>#REF!</v>
      </c>
      <c r="L38" s="167" t="e">
        <f t="shared" si="6"/>
        <v>#REF!</v>
      </c>
      <c r="M38" s="167" t="e">
        <f t="shared" si="6"/>
        <v>#REF!</v>
      </c>
      <c r="N38" s="167"/>
    </row>
    <row r="39" spans="1:14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</sheetData>
  <phoneticPr fontId="24" type="noConversion"/>
  <pageMargins left="0.78740157480314965" right="0.78740157480314965" top="1.1811023622047245" bottom="0.78740157480314965" header="0.47244094488188981" footer="0.47244094488188981"/>
  <pageSetup paperSize="9" scale="76" firstPageNumber="8" fitToHeight="100" orientation="landscape" horizontalDpi="4294967292" verticalDpi="300"/>
  <headerFooter alignWithMargins="0">
    <oddFooter xml:space="preserve">&amp;C
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:I114"/>
    </sheetView>
  </sheetViews>
  <sheetFormatPr baseColWidth="10" defaultColWidth="8.83203125" defaultRowHeight="15" x14ac:dyDescent="0"/>
  <cols>
    <col min="2" max="7" width="9" customWidth="1"/>
  </cols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BDOheader</vt:lpstr>
      <vt:lpstr>Resultat</vt:lpstr>
      <vt:lpstr>Balance</vt:lpstr>
      <vt:lpstr>Budget</vt:lpstr>
      <vt:lpstr>Beholdningsforskydn.</vt:lpstr>
      <vt:lpstr>Forudsætn.</vt:lpstr>
      <vt:lpstr>Momsspec.</vt:lpstr>
      <vt:lpstr>Ind- og udbet.</vt:lpstr>
      <vt:lpstr>Ark1</vt:lpstr>
      <vt:lpstr>Ark2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Selskab Handel art 12 perioder</dc:title>
  <dc:creator>Linda Kampmann</dc:creator>
  <cp:lastModifiedBy>Georg Rønsch</cp:lastModifiedBy>
  <cp:lastPrinted>2012-02-13T10:42:10Z</cp:lastPrinted>
  <dcterms:created xsi:type="dcterms:W3CDTF">1998-12-20T20:42:12Z</dcterms:created>
  <dcterms:modified xsi:type="dcterms:W3CDTF">2015-03-05T21:02:12Z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rovers">
    <vt:lpwstr>3</vt:lpwstr>
  </property>
  <property fmtid="{D5CDD505-2E9C-101B-9397-08002B2CF9AE}" pid="3" name="bdoCustomerID">
    <vt:lpwstr>033131</vt:lpwstr>
  </property>
  <property fmtid="{D5CDD505-2E9C-101B-9397-08002B2CF9AE}" pid="4" name="bdoCategory">
    <vt:lpwstr/>
  </property>
  <property fmtid="{D5CDD505-2E9C-101B-9397-08002B2CF9AE}" pid="5" name="bdoYear">
    <vt:lpwstr/>
  </property>
  <property fmtid="{D5CDD505-2E9C-101B-9397-08002B2CF9AE}" pid="6" name="bdoCase">
    <vt:lpwstr/>
  </property>
  <property fmtid="{D5CDD505-2E9C-101B-9397-08002B2CF9AE}" pid="7" name="bdoMaster">
    <vt:lpwstr>0</vt:lpwstr>
  </property>
</Properties>
</file>